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hannah.greaves\Desktop\ENW\Regulatory Information\Use of System Charges\Historical charges\2016-2017\"/>
    </mc:Choice>
  </mc:AlternateContent>
  <bookViews>
    <workbookView xWindow="0" yWindow="0" windowWidth="25200" windowHeight="11985" tabRatio="962" activeTab="1"/>
  </bookViews>
  <sheets>
    <sheet name="Index" sheetId="1" r:id="rId1"/>
    <sheet name="Inputs" sheetId="2" r:id="rId2"/>
    <sheet name="Results" sheetId="27" r:id="rId3"/>
    <sheet name="Allowed revenue -DPCR4" sheetId="3" r:id="rId4"/>
    <sheet name="FBPQ T4" sheetId="4" r:id="rId5"/>
    <sheet name="FBPQ LR1" sheetId="5" r:id="rId6"/>
    <sheet name="FBPQ LR1 - V5 opt3" sheetId="6" r:id="rId7"/>
    <sheet name="FBPQ LR4" sheetId="7" r:id="rId8"/>
    <sheet name="FBPQ LR6" sheetId="8" r:id="rId9"/>
    <sheet name="FBPQ NL1" sheetId="9" r:id="rId10"/>
    <sheet name="NL9 - Legal &amp; Safety" sheetId="10" r:id="rId11"/>
    <sheet name="FBPQ C2" sheetId="11" r:id="rId12"/>
    <sheet name="Reductions to net capex" sheetId="12" r:id="rId13"/>
    <sheet name="RRP 1.3" sheetId="13" r:id="rId14"/>
    <sheet name="RRP 2.3" sheetId="14" r:id="rId15"/>
    <sheet name="RRP 2.4" sheetId="15" r:id="rId16"/>
    <sheet name="RRP 2.6" sheetId="16" r:id="rId17"/>
    <sheet name="RRP 5.1" sheetId="28" r:id="rId18"/>
    <sheet name="Summary of revenue" sheetId="18" r:id="rId19"/>
    <sheet name="Data-MEAV" sheetId="19" r:id="rId20"/>
    <sheet name="Calc-MEAV" sheetId="20" r:id="rId21"/>
    <sheet name="Calc-Units" sheetId="21" r:id="rId22"/>
    <sheet name="Calc-Net capex" sheetId="22" r:id="rId23"/>
    <sheet name="Calc-Opex" sheetId="23" r:id="rId24"/>
    <sheet name="Calc-Drivers" sheetId="24" r:id="rId25"/>
    <sheet name="Calc-Allocation" sheetId="25" r:id="rId26"/>
    <sheet name="Calc-Summary" sheetId="26" r:id="rId27"/>
  </sheets>
  <definedNames>
    <definedName name="_xlnm._FilterDatabase" localSheetId="0" hidden="1">Index!$A$9:$C$39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75" i="15" l="1"/>
  <c r="Q153" i="9"/>
  <c r="T153" i="9" s="1"/>
  <c r="S153" i="9"/>
  <c r="P153" i="9"/>
  <c r="O153" i="9"/>
  <c r="Q152" i="9"/>
  <c r="T152" i="9" s="1"/>
  <c r="S152" i="9"/>
  <c r="P152" i="9"/>
  <c r="O152" i="9"/>
  <c r="Q151" i="9"/>
  <c r="T151" i="9"/>
  <c r="S151" i="9"/>
  <c r="P151" i="9"/>
  <c r="O151" i="9"/>
  <c r="Q148" i="9"/>
  <c r="T148" i="9" s="1"/>
  <c r="S148" i="9"/>
  <c r="P148" i="9"/>
  <c r="O148" i="9"/>
  <c r="Q147" i="9"/>
  <c r="T147" i="9" s="1"/>
  <c r="S147" i="9"/>
  <c r="P147" i="9"/>
  <c r="O147" i="9"/>
  <c r="Q146" i="9"/>
  <c r="T146" i="9" s="1"/>
  <c r="S146" i="9"/>
  <c r="P146" i="9"/>
  <c r="O146" i="9"/>
  <c r="Q138" i="9"/>
  <c r="S138" i="9"/>
  <c r="P138" i="9"/>
  <c r="O138" i="9"/>
  <c r="Q137" i="9"/>
  <c r="S137" i="9"/>
  <c r="P137" i="9"/>
  <c r="O137" i="9"/>
  <c r="Q136" i="9"/>
  <c r="T136" i="9" s="1"/>
  <c r="S136" i="9"/>
  <c r="P136" i="9"/>
  <c r="O136" i="9"/>
  <c r="Q135" i="9"/>
  <c r="T135" i="9"/>
  <c r="S135" i="9"/>
  <c r="P135" i="9"/>
  <c r="O135" i="9"/>
  <c r="Q134" i="9"/>
  <c r="T134" i="9" s="1"/>
  <c r="S134" i="9"/>
  <c r="P134" i="9"/>
  <c r="O134" i="9"/>
  <c r="Q133" i="9"/>
  <c r="T133" i="9" s="1"/>
  <c r="S133" i="9"/>
  <c r="P133" i="9"/>
  <c r="O133" i="9"/>
  <c r="Q132" i="9"/>
  <c r="T132" i="9" s="1"/>
  <c r="S132" i="9"/>
  <c r="P132" i="9"/>
  <c r="O132" i="9"/>
  <c r="Q131" i="9"/>
  <c r="T131" i="9"/>
  <c r="S131" i="9"/>
  <c r="P131" i="9"/>
  <c r="O131" i="9"/>
  <c r="Q130" i="9"/>
  <c r="S130" i="9"/>
  <c r="P130" i="9"/>
  <c r="O130" i="9"/>
  <c r="Q129" i="9"/>
  <c r="S129" i="9"/>
  <c r="P129" i="9"/>
  <c r="O129" i="9"/>
  <c r="Q128" i="9"/>
  <c r="T128" i="9" s="1"/>
  <c r="S128" i="9"/>
  <c r="P128" i="9"/>
  <c r="O128" i="9"/>
  <c r="Q127" i="9"/>
  <c r="T127" i="9"/>
  <c r="S127" i="9"/>
  <c r="P127" i="9"/>
  <c r="O127" i="9"/>
  <c r="Q126" i="9"/>
  <c r="T126" i="9"/>
  <c r="S126" i="9"/>
  <c r="P126" i="9"/>
  <c r="O126" i="9"/>
  <c r="Q125" i="9"/>
  <c r="T125" i="9" s="1"/>
  <c r="S125" i="9"/>
  <c r="P125" i="9"/>
  <c r="O125" i="9"/>
  <c r="Q124" i="9"/>
  <c r="T124" i="9" s="1"/>
  <c r="S124" i="9"/>
  <c r="P124" i="9"/>
  <c r="O124" i="9"/>
  <c r="Q123" i="9"/>
  <c r="T123" i="9"/>
  <c r="S123" i="9"/>
  <c r="P123" i="9"/>
  <c r="O123" i="9"/>
  <c r="Q122" i="9"/>
  <c r="T122" i="9"/>
  <c r="S122" i="9"/>
  <c r="P122" i="9"/>
  <c r="O122" i="9"/>
  <c r="Q121" i="9"/>
  <c r="T121" i="9" s="1"/>
  <c r="S121" i="9"/>
  <c r="P121" i="9"/>
  <c r="O121" i="9"/>
  <c r="Q120" i="9"/>
  <c r="S120" i="9"/>
  <c r="P120" i="9"/>
  <c r="O120" i="9"/>
  <c r="Q119" i="9"/>
  <c r="T119" i="9" s="1"/>
  <c r="S119" i="9"/>
  <c r="P119" i="9"/>
  <c r="O119" i="9"/>
  <c r="Q118" i="9"/>
  <c r="T118" i="9" s="1"/>
  <c r="S118" i="9"/>
  <c r="P118" i="9"/>
  <c r="O118" i="9"/>
  <c r="Q117" i="9"/>
  <c r="T117" i="9" s="1"/>
  <c r="S117" i="9"/>
  <c r="P117" i="9"/>
  <c r="O117" i="9"/>
  <c r="Q116" i="9"/>
  <c r="T116" i="9" s="1"/>
  <c r="S116" i="9"/>
  <c r="P116" i="9"/>
  <c r="O116" i="9"/>
  <c r="Q115" i="9"/>
  <c r="T115" i="9" s="1"/>
  <c r="S115" i="9"/>
  <c r="P115" i="9"/>
  <c r="O115" i="9"/>
  <c r="Q114" i="9"/>
  <c r="S114" i="9"/>
  <c r="T114" i="9" s="1"/>
  <c r="P114" i="9"/>
  <c r="O114" i="9"/>
  <c r="Q113" i="9"/>
  <c r="S113" i="9"/>
  <c r="P113" i="9"/>
  <c r="O113" i="9"/>
  <c r="Q112" i="9"/>
  <c r="T112" i="9" s="1"/>
  <c r="S112" i="9"/>
  <c r="P112" i="9"/>
  <c r="O112" i="9"/>
  <c r="Q111" i="9"/>
  <c r="T111" i="9"/>
  <c r="S111" i="9"/>
  <c r="P111" i="9"/>
  <c r="O111" i="9"/>
  <c r="Q110" i="9"/>
  <c r="T110" i="9" s="1"/>
  <c r="S110" i="9"/>
  <c r="P110" i="9"/>
  <c r="O110" i="9"/>
  <c r="Q109" i="9"/>
  <c r="T109" i="9" s="1"/>
  <c r="S109" i="9"/>
  <c r="P109" i="9"/>
  <c r="O109" i="9"/>
  <c r="Q101" i="9"/>
  <c r="S101" i="9"/>
  <c r="P101" i="9"/>
  <c r="O101" i="9"/>
  <c r="Q100" i="9"/>
  <c r="T100" i="9" s="1"/>
  <c r="S100" i="9"/>
  <c r="P100" i="9"/>
  <c r="O100" i="9"/>
  <c r="Q99" i="9"/>
  <c r="T99" i="9" s="1"/>
  <c r="S99" i="9"/>
  <c r="P99" i="9"/>
  <c r="O99" i="9"/>
  <c r="Q98" i="9"/>
  <c r="T98" i="9" s="1"/>
  <c r="S98" i="9"/>
  <c r="P98" i="9"/>
  <c r="O98" i="9"/>
  <c r="Q97" i="9"/>
  <c r="T97" i="9" s="1"/>
  <c r="S97" i="9"/>
  <c r="P97" i="9"/>
  <c r="O97" i="9"/>
  <c r="Q96" i="9"/>
  <c r="T96" i="9"/>
  <c r="S96" i="9"/>
  <c r="P96" i="9"/>
  <c r="O96" i="9"/>
  <c r="Q95" i="9"/>
  <c r="T95" i="9"/>
  <c r="S95" i="9"/>
  <c r="P95" i="9"/>
  <c r="O95" i="9"/>
  <c r="Q94" i="9"/>
  <c r="S94" i="9"/>
  <c r="P94" i="9"/>
  <c r="O94" i="9"/>
  <c r="Q93" i="9"/>
  <c r="T93" i="9" s="1"/>
  <c r="S93" i="9"/>
  <c r="P93" i="9"/>
  <c r="O93" i="9"/>
  <c r="Q92" i="9"/>
  <c r="T92" i="9"/>
  <c r="S92" i="9"/>
  <c r="P92" i="9"/>
  <c r="O92" i="9"/>
  <c r="Q91" i="9"/>
  <c r="T91" i="9"/>
  <c r="S91" i="9"/>
  <c r="P91" i="9"/>
  <c r="O91" i="9"/>
  <c r="Q90" i="9"/>
  <c r="S90" i="9"/>
  <c r="P90" i="9"/>
  <c r="O90" i="9"/>
  <c r="Q89" i="9"/>
  <c r="T89" i="9" s="1"/>
  <c r="S89" i="9"/>
  <c r="P89" i="9"/>
  <c r="O89" i="9"/>
  <c r="Q88" i="9"/>
  <c r="S88" i="9"/>
  <c r="T88" i="9"/>
  <c r="P88" i="9"/>
  <c r="O88" i="9"/>
  <c r="Q87" i="9"/>
  <c r="S87" i="9"/>
  <c r="P87" i="9"/>
  <c r="O87" i="9"/>
  <c r="Q86" i="9"/>
  <c r="S86" i="9"/>
  <c r="P86" i="9"/>
  <c r="O86" i="9"/>
  <c r="Q85" i="9"/>
  <c r="T85" i="9" s="1"/>
  <c r="S85" i="9"/>
  <c r="P85" i="9"/>
  <c r="O85" i="9"/>
  <c r="Q84" i="9"/>
  <c r="T84" i="9" s="1"/>
  <c r="S84" i="9"/>
  <c r="P84" i="9"/>
  <c r="O84" i="9"/>
  <c r="Q83" i="9"/>
  <c r="T83" i="9"/>
  <c r="S83" i="9"/>
  <c r="P83" i="9"/>
  <c r="O83" i="9"/>
  <c r="Q82" i="9"/>
  <c r="S82" i="9"/>
  <c r="P82" i="9"/>
  <c r="O82" i="9"/>
  <c r="Q81" i="9"/>
  <c r="T81" i="9" s="1"/>
  <c r="S81" i="9"/>
  <c r="P81" i="9"/>
  <c r="O81" i="9"/>
  <c r="Q80" i="9"/>
  <c r="S80" i="9"/>
  <c r="T80" i="9"/>
  <c r="P80" i="9"/>
  <c r="O80" i="9"/>
  <c r="Q79" i="9"/>
  <c r="S79" i="9"/>
  <c r="T79" i="9" s="1"/>
  <c r="P79" i="9"/>
  <c r="O79" i="9"/>
  <c r="Q78" i="9"/>
  <c r="T78" i="9" s="1"/>
  <c r="S78" i="9"/>
  <c r="P78" i="9"/>
  <c r="O78" i="9"/>
  <c r="Q77" i="9"/>
  <c r="S77" i="9"/>
  <c r="P77" i="9"/>
  <c r="O77" i="9"/>
  <c r="Q76" i="9"/>
  <c r="T76" i="9" s="1"/>
  <c r="S76" i="9"/>
  <c r="P76" i="9"/>
  <c r="O76" i="9"/>
  <c r="Q68" i="9"/>
  <c r="S68" i="9"/>
  <c r="T68" i="9" s="1"/>
  <c r="P68" i="9"/>
  <c r="O68" i="9"/>
  <c r="Q67" i="9"/>
  <c r="T67" i="9" s="1"/>
  <c r="S67" i="9"/>
  <c r="P67" i="9"/>
  <c r="O67" i="9"/>
  <c r="Q66" i="9"/>
  <c r="S66" i="9"/>
  <c r="P66" i="9"/>
  <c r="O66" i="9"/>
  <c r="Q65" i="9"/>
  <c r="T65" i="9" s="1"/>
  <c r="S65" i="9"/>
  <c r="P65" i="9"/>
  <c r="O65" i="9"/>
  <c r="Q64" i="9"/>
  <c r="T64" i="9" s="1"/>
  <c r="S64" i="9"/>
  <c r="P64" i="9"/>
  <c r="O64" i="9"/>
  <c r="Q63" i="9"/>
  <c r="T63" i="9" s="1"/>
  <c r="S63" i="9"/>
  <c r="P63" i="9"/>
  <c r="O63" i="9"/>
  <c r="Q62" i="9"/>
  <c r="S62" i="9"/>
  <c r="P62" i="9"/>
  <c r="O62" i="9"/>
  <c r="Q61" i="9"/>
  <c r="T61" i="9" s="1"/>
  <c r="S61" i="9"/>
  <c r="P61" i="9"/>
  <c r="O61" i="9"/>
  <c r="Q60" i="9"/>
  <c r="S60" i="9"/>
  <c r="T60" i="9" s="1"/>
  <c r="P60" i="9"/>
  <c r="O60" i="9"/>
  <c r="Q59" i="9"/>
  <c r="S59" i="9"/>
  <c r="P59" i="9"/>
  <c r="O59" i="9"/>
  <c r="Q58" i="9"/>
  <c r="T58" i="9" s="1"/>
  <c r="S58" i="9"/>
  <c r="P58" i="9"/>
  <c r="O58" i="9"/>
  <c r="Q57" i="9"/>
  <c r="S57" i="9"/>
  <c r="T57" i="9"/>
  <c r="P57" i="9"/>
  <c r="O57" i="9"/>
  <c r="Q56" i="9"/>
  <c r="S56" i="9"/>
  <c r="P56" i="9"/>
  <c r="O56" i="9"/>
  <c r="Q55" i="9"/>
  <c r="S55" i="9"/>
  <c r="P55" i="9"/>
  <c r="O55" i="9"/>
  <c r="Q54" i="9"/>
  <c r="T54" i="9" s="1"/>
  <c r="S54" i="9"/>
  <c r="P54" i="9"/>
  <c r="O54" i="9"/>
  <c r="Q53" i="9"/>
  <c r="T53" i="9" s="1"/>
  <c r="S53" i="9"/>
  <c r="P53" i="9"/>
  <c r="O53" i="9"/>
  <c r="Q52" i="9"/>
  <c r="T52" i="9"/>
  <c r="S52" i="9"/>
  <c r="P52" i="9"/>
  <c r="O52" i="9"/>
  <c r="Q51" i="9"/>
  <c r="S51" i="9"/>
  <c r="P51" i="9"/>
  <c r="O51" i="9"/>
  <c r="Q50" i="9"/>
  <c r="T50" i="9" s="1"/>
  <c r="S50" i="9"/>
  <c r="P50" i="9"/>
  <c r="O50" i="9"/>
  <c r="Q49" i="9"/>
  <c r="S49" i="9"/>
  <c r="T49" i="9"/>
  <c r="P49" i="9"/>
  <c r="O49" i="9"/>
  <c r="Q48" i="9"/>
  <c r="S48" i="9"/>
  <c r="T48" i="9" s="1"/>
  <c r="P48" i="9"/>
  <c r="O48" i="9"/>
  <c r="Q47" i="9"/>
  <c r="S47" i="9"/>
  <c r="P47" i="9"/>
  <c r="O47" i="9"/>
  <c r="Q46" i="9"/>
  <c r="S46" i="9"/>
  <c r="P46" i="9"/>
  <c r="O46" i="9"/>
  <c r="Q45" i="9"/>
  <c r="T45" i="9" s="1"/>
  <c r="S45" i="9"/>
  <c r="P45" i="9"/>
  <c r="O45" i="9"/>
  <c r="Q44" i="9"/>
  <c r="S44" i="9"/>
  <c r="T44" i="9" s="1"/>
  <c r="P44" i="9"/>
  <c r="O44" i="9"/>
  <c r="Q43" i="9"/>
  <c r="S43" i="9"/>
  <c r="P43" i="9"/>
  <c r="O43" i="9"/>
  <c r="Q35" i="9"/>
  <c r="S35" i="9"/>
  <c r="P35" i="9"/>
  <c r="O35" i="9"/>
  <c r="Q34" i="9"/>
  <c r="T34" i="9" s="1"/>
  <c r="S34" i="9"/>
  <c r="P34" i="9"/>
  <c r="O34" i="9"/>
  <c r="Q33" i="9"/>
  <c r="S33" i="9"/>
  <c r="T33" i="9" s="1"/>
  <c r="P33" i="9"/>
  <c r="O33" i="9"/>
  <c r="Q32" i="9"/>
  <c r="T32" i="9" s="1"/>
  <c r="S32" i="9"/>
  <c r="P32" i="9"/>
  <c r="O32" i="9"/>
  <c r="Q31" i="9"/>
  <c r="T31" i="9" s="1"/>
  <c r="S31" i="9"/>
  <c r="P31" i="9"/>
  <c r="O31" i="9"/>
  <c r="Q30" i="9"/>
  <c r="T30" i="9" s="1"/>
  <c r="S30" i="9"/>
  <c r="P30" i="9"/>
  <c r="O30" i="9"/>
  <c r="Q29" i="9"/>
  <c r="S29" i="9"/>
  <c r="P29" i="9"/>
  <c r="O29" i="9"/>
  <c r="Q28" i="9"/>
  <c r="S28" i="9"/>
  <c r="P28" i="9"/>
  <c r="O28" i="9"/>
  <c r="Q27" i="9"/>
  <c r="T27" i="9" s="1"/>
  <c r="S27" i="9"/>
  <c r="P27" i="9"/>
  <c r="O27" i="9"/>
  <c r="Q26" i="9"/>
  <c r="S26" i="9"/>
  <c r="T26" i="9" s="1"/>
  <c r="P26" i="9"/>
  <c r="O26" i="9"/>
  <c r="Q25" i="9"/>
  <c r="T25" i="9"/>
  <c r="S25" i="9"/>
  <c r="P25" i="9"/>
  <c r="O25" i="9"/>
  <c r="Q24" i="9"/>
  <c r="S24" i="9"/>
  <c r="P24" i="9"/>
  <c r="O24" i="9"/>
  <c r="Q23" i="9"/>
  <c r="S23" i="9"/>
  <c r="P23" i="9"/>
  <c r="O23" i="9"/>
  <c r="Q22" i="9"/>
  <c r="S22" i="9"/>
  <c r="T22" i="9"/>
  <c r="P22" i="9"/>
  <c r="O22" i="9"/>
  <c r="Q21" i="9"/>
  <c r="S21" i="9"/>
  <c r="P21" i="9"/>
  <c r="O21" i="9"/>
  <c r="Q20" i="9"/>
  <c r="S20" i="9"/>
  <c r="P20" i="9"/>
  <c r="O20" i="9"/>
  <c r="Q19" i="9"/>
  <c r="T19" i="9" s="1"/>
  <c r="S19" i="9"/>
  <c r="P19" i="9"/>
  <c r="O19" i="9"/>
  <c r="Q18" i="9"/>
  <c r="T18" i="9" s="1"/>
  <c r="S18" i="9"/>
  <c r="P18" i="9"/>
  <c r="O18" i="9"/>
  <c r="Q17" i="9"/>
  <c r="S17" i="9"/>
  <c r="T17" i="9" s="1"/>
  <c r="P17" i="9"/>
  <c r="O17" i="9"/>
  <c r="Q16" i="9"/>
  <c r="T16" i="9" s="1"/>
  <c r="S16" i="9"/>
  <c r="P16" i="9"/>
  <c r="O16" i="9"/>
  <c r="Q15" i="9"/>
  <c r="S15" i="9"/>
  <c r="P15" i="9"/>
  <c r="O15" i="9"/>
  <c r="Q14" i="9"/>
  <c r="T14" i="9" s="1"/>
  <c r="S14" i="9"/>
  <c r="P14" i="9"/>
  <c r="O14" i="9"/>
  <c r="Q13" i="9"/>
  <c r="S13" i="9"/>
  <c r="P13" i="9"/>
  <c r="O13" i="9"/>
  <c r="Q12" i="9"/>
  <c r="T12" i="9" s="1"/>
  <c r="S12" i="9"/>
  <c r="P12" i="9"/>
  <c r="O12" i="9"/>
  <c r="Q11" i="9"/>
  <c r="T11" i="9" s="1"/>
  <c r="S11" i="9"/>
  <c r="P11" i="9"/>
  <c r="O11" i="9"/>
  <c r="Q10" i="9"/>
  <c r="S10" i="9"/>
  <c r="T10" i="9"/>
  <c r="P10" i="9"/>
  <c r="O10" i="9"/>
  <c r="M39" i="7"/>
  <c r="L39" i="7"/>
  <c r="M38" i="7"/>
  <c r="L38" i="7"/>
  <c r="M35" i="7"/>
  <c r="M37" i="7"/>
  <c r="L35" i="7"/>
  <c r="L37" i="7" s="1"/>
  <c r="M36" i="7"/>
  <c r="L36" i="7"/>
  <c r="M34" i="7"/>
  <c r="L34" i="7"/>
  <c r="M27" i="7"/>
  <c r="M29" i="7"/>
  <c r="L27" i="7"/>
  <c r="L29" i="7" s="1"/>
  <c r="K29" i="7"/>
  <c r="J29" i="7"/>
  <c r="I29" i="7"/>
  <c r="H29" i="7"/>
  <c r="G29" i="7"/>
  <c r="F29" i="7"/>
  <c r="E29" i="7"/>
  <c r="D29" i="7"/>
  <c r="M28" i="7"/>
  <c r="L28" i="7"/>
  <c r="M26" i="7"/>
  <c r="L26" i="7"/>
  <c r="Q19" i="7"/>
  <c r="T19" i="7" s="1"/>
  <c r="S19" i="7"/>
  <c r="P19" i="7"/>
  <c r="O19" i="7"/>
  <c r="Q18" i="7"/>
  <c r="T18" i="7" s="1"/>
  <c r="S18" i="7"/>
  <c r="P18" i="7"/>
  <c r="O18" i="7"/>
  <c r="Q16" i="7"/>
  <c r="S16" i="7"/>
  <c r="P16" i="7"/>
  <c r="O16" i="7"/>
  <c r="Q15" i="7"/>
  <c r="T15" i="7" s="1"/>
  <c r="S15" i="7"/>
  <c r="P15" i="7"/>
  <c r="O15" i="7"/>
  <c r="Q14" i="7"/>
  <c r="S14" i="7"/>
  <c r="T14" i="7" s="1"/>
  <c r="P14" i="7"/>
  <c r="O14" i="7"/>
  <c r="Q13" i="7"/>
  <c r="T13" i="7" s="1"/>
  <c r="S13" i="7"/>
  <c r="P13" i="7"/>
  <c r="O13" i="7"/>
  <c r="Q12" i="7"/>
  <c r="S12" i="7"/>
  <c r="P12" i="7"/>
  <c r="O12" i="7"/>
  <c r="Q11" i="7"/>
  <c r="T11" i="7" s="1"/>
  <c r="S11" i="7"/>
  <c r="P11" i="7"/>
  <c r="O11" i="7"/>
  <c r="AN7" i="23"/>
  <c r="AM7" i="23"/>
  <c r="Z28" i="23"/>
  <c r="Z29" i="23"/>
  <c r="Z30" i="23"/>
  <c r="AQ30" i="23" s="1"/>
  <c r="Z31" i="23"/>
  <c r="Z32" i="23"/>
  <c r="AQ32" i="23" s="1"/>
  <c r="Z33" i="23"/>
  <c r="Z34" i="23"/>
  <c r="Z35" i="23"/>
  <c r="Z36" i="23"/>
  <c r="Z37" i="23"/>
  <c r="Z38" i="23"/>
  <c r="AQ38" i="23" s="1"/>
  <c r="Z39" i="23"/>
  <c r="Z22" i="23"/>
  <c r="AQ22" i="23" s="1"/>
  <c r="Z23" i="23"/>
  <c r="AQ23" i="23" s="1"/>
  <c r="AC28" i="23"/>
  <c r="AT28" i="23" s="1"/>
  <c r="AC29" i="23"/>
  <c r="AC30" i="23"/>
  <c r="AC31" i="23"/>
  <c r="AC32" i="23"/>
  <c r="AC33" i="23"/>
  <c r="AC34" i="23"/>
  <c r="AC35" i="23"/>
  <c r="AC36" i="23"/>
  <c r="AC37" i="23"/>
  <c r="AT37" i="23" s="1"/>
  <c r="AC38" i="23"/>
  <c r="AT38" i="23" s="1"/>
  <c r="AC39" i="23"/>
  <c r="AT39" i="23" s="1"/>
  <c r="AC22" i="23"/>
  <c r="AT22" i="23" s="1"/>
  <c r="AC23" i="23"/>
  <c r="AT23" i="23" s="1"/>
  <c r="AA28" i="23"/>
  <c r="AR28" i="23" s="1"/>
  <c r="AA29" i="23"/>
  <c r="AA30" i="23"/>
  <c r="AR30" i="23" s="1"/>
  <c r="AA31" i="23"/>
  <c r="AR31" i="23" s="1"/>
  <c r="AA32" i="23"/>
  <c r="AR32" i="23" s="1"/>
  <c r="AA33" i="23"/>
  <c r="AA34" i="23"/>
  <c r="AA35" i="23"/>
  <c r="AR35" i="23" s="1"/>
  <c r="AA36" i="23"/>
  <c r="AR36" i="23" s="1"/>
  <c r="AA37" i="23"/>
  <c r="AA38" i="23"/>
  <c r="AR38" i="23" s="1"/>
  <c r="AA39" i="23"/>
  <c r="AR39" i="23" s="1"/>
  <c r="AA22" i="23"/>
  <c r="AR22" i="23" s="1"/>
  <c r="AA23" i="23"/>
  <c r="AR23" i="23" s="1"/>
  <c r="B5" i="22"/>
  <c r="A1" i="26" s="1"/>
  <c r="C5" i="27"/>
  <c r="D5" i="27"/>
  <c r="E5" i="27"/>
  <c r="F5" i="27"/>
  <c r="AB28" i="23"/>
  <c r="AB29" i="23"/>
  <c r="AB30" i="23"/>
  <c r="AS30" i="23" s="1"/>
  <c r="AB31" i="23"/>
  <c r="AB32" i="23"/>
  <c r="AS32" i="23" s="1"/>
  <c r="AB33" i="23"/>
  <c r="AB34" i="23"/>
  <c r="AB35" i="23"/>
  <c r="AS35" i="23" s="1"/>
  <c r="AB36" i="23"/>
  <c r="AB37" i="23"/>
  <c r="AB38" i="23"/>
  <c r="AS38" i="23" s="1"/>
  <c r="AB39" i="23"/>
  <c r="AS39" i="23" s="1"/>
  <c r="AB22" i="23"/>
  <c r="AS22" i="23" s="1"/>
  <c r="AB23" i="23"/>
  <c r="AS23" i="23" s="1"/>
  <c r="AD28" i="23"/>
  <c r="AU28" i="23" s="1"/>
  <c r="AD29" i="23"/>
  <c r="AU29" i="23" s="1"/>
  <c r="AD30" i="23"/>
  <c r="AU30" i="23" s="1"/>
  <c r="AD31" i="23"/>
  <c r="AU31" i="23" s="1"/>
  <c r="AD32" i="23"/>
  <c r="AU32" i="23" s="1"/>
  <c r="AD33" i="23"/>
  <c r="AU33" i="23" s="1"/>
  <c r="AD34" i="23"/>
  <c r="AU34" i="23" s="1"/>
  <c r="AD35" i="23"/>
  <c r="AU35" i="23" s="1"/>
  <c r="AD36" i="23"/>
  <c r="AU36" i="23" s="1"/>
  <c r="AD37" i="23"/>
  <c r="AU37" i="23" s="1"/>
  <c r="AD38" i="23"/>
  <c r="AU38" i="23" s="1"/>
  <c r="AD39" i="23"/>
  <c r="AU39" i="23" s="1"/>
  <c r="AD22" i="23"/>
  <c r="AU22" i="23" s="1"/>
  <c r="AD23" i="23"/>
  <c r="AU23" i="23" s="1"/>
  <c r="O31" i="25"/>
  <c r="O36" i="25"/>
  <c r="O41" i="25" s="1"/>
  <c r="P31" i="25"/>
  <c r="Q31" i="25"/>
  <c r="Q36" i="25"/>
  <c r="R31" i="25"/>
  <c r="R36" i="25"/>
  <c r="R41" i="25" s="1"/>
  <c r="S31" i="25"/>
  <c r="S36" i="25"/>
  <c r="O33" i="25"/>
  <c r="O34" i="25" s="1"/>
  <c r="Q33" i="25"/>
  <c r="S33" i="25"/>
  <c r="S34" i="25" s="1"/>
  <c r="D32" i="24"/>
  <c r="C32" i="24"/>
  <c r="C99" i="22"/>
  <c r="C42" i="22" s="1"/>
  <c r="K5" i="22"/>
  <c r="O9" i="22"/>
  <c r="C96" i="22"/>
  <c r="C39" i="22" s="1"/>
  <c r="O6" i="22"/>
  <c r="C100" i="22"/>
  <c r="C43" i="22" s="1"/>
  <c r="O10" i="22"/>
  <c r="F61" i="25"/>
  <c r="F62" i="25"/>
  <c r="F63" i="25"/>
  <c r="P65" i="25" s="1"/>
  <c r="F64" i="25"/>
  <c r="F65" i="25"/>
  <c r="G68" i="25"/>
  <c r="Q63" i="25" s="1"/>
  <c r="C50" i="22"/>
  <c r="C110" i="22" s="1"/>
  <c r="C51" i="22"/>
  <c r="O8" i="22"/>
  <c r="O7" i="22"/>
  <c r="D37" i="23"/>
  <c r="AN37" i="23" s="1"/>
  <c r="O11" i="25"/>
  <c r="D18" i="25"/>
  <c r="D29" i="25" s="1"/>
  <c r="O19" i="25"/>
  <c r="D19" i="25" s="1"/>
  <c r="O20" i="25"/>
  <c r="D20" i="25"/>
  <c r="O21" i="25"/>
  <c r="D21" i="25" s="1"/>
  <c r="S27" i="25"/>
  <c r="P36" i="25"/>
  <c r="P33" i="25"/>
  <c r="P34" i="25" s="1"/>
  <c r="R33" i="25"/>
  <c r="R34" i="25" s="1"/>
  <c r="O16" i="25"/>
  <c r="D12" i="25" s="1"/>
  <c r="O18" i="25"/>
  <c r="O22" i="25"/>
  <c r="D13" i="25" s="1"/>
  <c r="O23" i="25"/>
  <c r="D14" i="25" s="1"/>
  <c r="F39" i="22"/>
  <c r="I39" i="22"/>
  <c r="C49" i="22"/>
  <c r="F49" i="22"/>
  <c r="F42" i="22"/>
  <c r="I42" i="22"/>
  <c r="C52" i="22"/>
  <c r="F52" i="22"/>
  <c r="F21" i="22"/>
  <c r="F22" i="22"/>
  <c r="F43" i="22"/>
  <c r="I43" i="22"/>
  <c r="C53" i="22"/>
  <c r="F53" i="22"/>
  <c r="D8" i="23"/>
  <c r="E8" i="23"/>
  <c r="F8" i="23"/>
  <c r="G8" i="23"/>
  <c r="G10" i="23"/>
  <c r="G11" i="23"/>
  <c r="H8" i="23"/>
  <c r="D9" i="23"/>
  <c r="I9" i="23" s="1"/>
  <c r="D10" i="23"/>
  <c r="AN10" i="23" s="1"/>
  <c r="E10" i="23"/>
  <c r="F10" i="23"/>
  <c r="H10" i="23"/>
  <c r="D11" i="23"/>
  <c r="AN11" i="23" s="1"/>
  <c r="E11" i="23"/>
  <c r="F11" i="23"/>
  <c r="H11" i="23"/>
  <c r="D12" i="23"/>
  <c r="AN12" i="23" s="1"/>
  <c r="E12" i="23"/>
  <c r="F12" i="23"/>
  <c r="H12" i="23"/>
  <c r="D13" i="23"/>
  <c r="I13" i="23" s="1"/>
  <c r="D14" i="23"/>
  <c r="I14" i="23" s="1"/>
  <c r="D15" i="23"/>
  <c r="I15" i="23" s="1"/>
  <c r="D16" i="23"/>
  <c r="AN16" i="23" s="1"/>
  <c r="D17" i="23"/>
  <c r="I17" i="23"/>
  <c r="D18" i="23"/>
  <c r="I18" i="23" s="1"/>
  <c r="D19" i="23"/>
  <c r="I19" i="23" s="1"/>
  <c r="D20" i="23"/>
  <c r="AN20" i="23" s="1"/>
  <c r="D21" i="23"/>
  <c r="I21" i="23" s="1"/>
  <c r="D24" i="23"/>
  <c r="I24" i="23" s="1"/>
  <c r="D25" i="23"/>
  <c r="I25" i="23" s="1"/>
  <c r="D26" i="23"/>
  <c r="AN26" i="23" s="1"/>
  <c r="D27" i="23"/>
  <c r="I27" i="23" s="1"/>
  <c r="P16" i="25"/>
  <c r="E12" i="25" s="1"/>
  <c r="P18" i="25"/>
  <c r="P22" i="25"/>
  <c r="E13" i="25" s="1"/>
  <c r="Q16" i="25"/>
  <c r="Q18" i="25"/>
  <c r="Q22" i="25"/>
  <c r="R16" i="25"/>
  <c r="H12" i="25" s="1"/>
  <c r="R18" i="25"/>
  <c r="R22" i="25"/>
  <c r="H13" i="25" s="1"/>
  <c r="S16" i="25"/>
  <c r="S18" i="25"/>
  <c r="S22" i="25"/>
  <c r="I13" i="25"/>
  <c r="P11" i="25"/>
  <c r="E18" i="25" s="1"/>
  <c r="Q11" i="25"/>
  <c r="G18" i="25"/>
  <c r="G29" i="25" s="1"/>
  <c r="R11" i="25"/>
  <c r="H18" i="25" s="1"/>
  <c r="H29" i="25" s="1"/>
  <c r="S11" i="25"/>
  <c r="I18" i="25"/>
  <c r="I29" i="25" s="1"/>
  <c r="O29" i="25"/>
  <c r="S19" i="25"/>
  <c r="I19" i="25" s="1"/>
  <c r="S20" i="25"/>
  <c r="I20" i="25" s="1"/>
  <c r="S21" i="25"/>
  <c r="I21" i="25" s="1"/>
  <c r="R19" i="25"/>
  <c r="H19" i="25" s="1"/>
  <c r="R20" i="25"/>
  <c r="H20" i="25" s="1"/>
  <c r="R21" i="25"/>
  <c r="H21" i="25" s="1"/>
  <c r="Q19" i="25"/>
  <c r="G19" i="25" s="1"/>
  <c r="Q20" i="25"/>
  <c r="G20" i="25" s="1"/>
  <c r="Q21" i="25"/>
  <c r="G21" i="25" s="1"/>
  <c r="P19" i="25"/>
  <c r="E19" i="25" s="1"/>
  <c r="P20" i="25"/>
  <c r="E20" i="25" s="1"/>
  <c r="P21" i="25"/>
  <c r="E21" i="25" s="1"/>
  <c r="S26" i="25"/>
  <c r="S25" i="25"/>
  <c r="R25" i="25"/>
  <c r="Q25" i="25"/>
  <c r="P25" i="25"/>
  <c r="O25" i="25"/>
  <c r="S24" i="25"/>
  <c r="R24" i="25"/>
  <c r="Q24" i="25"/>
  <c r="P24" i="25"/>
  <c r="O24" i="25"/>
  <c r="S23" i="25"/>
  <c r="R23" i="25"/>
  <c r="Q23" i="25"/>
  <c r="P23" i="25"/>
  <c r="S17" i="25"/>
  <c r="R17" i="25"/>
  <c r="Q17" i="25"/>
  <c r="P17" i="25"/>
  <c r="O17" i="25"/>
  <c r="S14" i="25"/>
  <c r="P14" i="25"/>
  <c r="S13" i="25"/>
  <c r="Q13" i="25"/>
  <c r="O13" i="25"/>
  <c r="S12" i="25"/>
  <c r="R12" i="25"/>
  <c r="Q12" i="25"/>
  <c r="P12" i="25"/>
  <c r="O12" i="25"/>
  <c r="S10" i="25"/>
  <c r="R10" i="25"/>
  <c r="Q10" i="25"/>
  <c r="P10" i="25"/>
  <c r="O10" i="25"/>
  <c r="S9" i="25"/>
  <c r="R9" i="25"/>
  <c r="Q9" i="25"/>
  <c r="P9" i="25"/>
  <c r="O9" i="25"/>
  <c r="A1" i="25"/>
  <c r="H27" i="24"/>
  <c r="H26" i="24"/>
  <c r="H25" i="24"/>
  <c r="H21" i="24"/>
  <c r="D20" i="24"/>
  <c r="F20" i="24"/>
  <c r="G20" i="24"/>
  <c r="D19" i="24"/>
  <c r="F19" i="24"/>
  <c r="G19" i="24"/>
  <c r="H18" i="24"/>
  <c r="A1" i="24"/>
  <c r="AN13" i="23"/>
  <c r="AN17" i="23"/>
  <c r="AN21" i="23"/>
  <c r="D22" i="23"/>
  <c r="AN22" i="23" s="1"/>
  <c r="D23" i="23"/>
  <c r="AN23" i="23"/>
  <c r="AN25" i="23"/>
  <c r="AN27" i="23"/>
  <c r="D28" i="23"/>
  <c r="AN28" i="23" s="1"/>
  <c r="D29" i="23"/>
  <c r="AM29" i="23" s="1"/>
  <c r="AN29" i="23"/>
  <c r="D30" i="23"/>
  <c r="AN30" i="23" s="1"/>
  <c r="D31" i="23"/>
  <c r="AN31" i="23"/>
  <c r="D32" i="23"/>
  <c r="AN32" i="23" s="1"/>
  <c r="D33" i="23"/>
  <c r="AN33" i="23" s="1"/>
  <c r="D34" i="23"/>
  <c r="AN34" i="23" s="1"/>
  <c r="D35" i="23"/>
  <c r="AN35" i="23" s="1"/>
  <c r="D36" i="23"/>
  <c r="AN36" i="23" s="1"/>
  <c r="D38" i="23"/>
  <c r="AM38" i="23" s="1"/>
  <c r="D39" i="23"/>
  <c r="AN39" i="23" s="1"/>
  <c r="AM9" i="23"/>
  <c r="AM11" i="23"/>
  <c r="AM13" i="23"/>
  <c r="AM16" i="23"/>
  <c r="AM17" i="23"/>
  <c r="AM20" i="23"/>
  <c r="AM23" i="23"/>
  <c r="AM25" i="23"/>
  <c r="AM27" i="23"/>
  <c r="AM28" i="23"/>
  <c r="AM31" i="23"/>
  <c r="O22" i="23"/>
  <c r="I23" i="23"/>
  <c r="O23" i="23"/>
  <c r="O28" i="23"/>
  <c r="O29" i="23"/>
  <c r="O30" i="23"/>
  <c r="I31" i="23"/>
  <c r="O31" i="23"/>
  <c r="O32" i="23"/>
  <c r="O33" i="23"/>
  <c r="O34" i="23"/>
  <c r="O35" i="23"/>
  <c r="O36" i="23"/>
  <c r="O37" i="23"/>
  <c r="O38" i="23"/>
  <c r="O39" i="23"/>
  <c r="N22" i="23"/>
  <c r="N23" i="23"/>
  <c r="U23" i="23" s="1"/>
  <c r="N28" i="23"/>
  <c r="N29" i="23"/>
  <c r="N30" i="23"/>
  <c r="N31" i="23"/>
  <c r="U31" i="23" s="1"/>
  <c r="N32" i="23"/>
  <c r="N33" i="23"/>
  <c r="N34" i="23"/>
  <c r="N35" i="23"/>
  <c r="N36" i="23"/>
  <c r="N37" i="23"/>
  <c r="N38" i="23"/>
  <c r="N39" i="23"/>
  <c r="M22" i="23"/>
  <c r="M23" i="23"/>
  <c r="M28" i="23"/>
  <c r="M29" i="23"/>
  <c r="M30" i="23"/>
  <c r="M31" i="23"/>
  <c r="M32" i="23"/>
  <c r="M33" i="23"/>
  <c r="M34" i="23"/>
  <c r="M35" i="23"/>
  <c r="M36" i="23"/>
  <c r="M37" i="23"/>
  <c r="M38" i="23"/>
  <c r="M39" i="23"/>
  <c r="L22" i="23"/>
  <c r="L23" i="23"/>
  <c r="S23" i="23" s="1"/>
  <c r="L28" i="23"/>
  <c r="L29" i="23"/>
  <c r="L30" i="23"/>
  <c r="L31" i="23"/>
  <c r="S31" i="23" s="1"/>
  <c r="L32" i="23"/>
  <c r="L33" i="23"/>
  <c r="L34" i="23"/>
  <c r="L35" i="23"/>
  <c r="L36" i="23"/>
  <c r="L37" i="23"/>
  <c r="L38" i="23"/>
  <c r="L39" i="23"/>
  <c r="P39" i="23"/>
  <c r="P38" i="23"/>
  <c r="P37" i="23"/>
  <c r="P36" i="23"/>
  <c r="P35" i="23"/>
  <c r="P34" i="23"/>
  <c r="P33" i="23"/>
  <c r="P32" i="23"/>
  <c r="P31" i="23"/>
  <c r="P30" i="23"/>
  <c r="P29" i="23"/>
  <c r="P28" i="23"/>
  <c r="P23" i="23"/>
  <c r="P22" i="23"/>
  <c r="A1" i="23"/>
  <c r="C90" i="22"/>
  <c r="C22" i="22" s="1"/>
  <c r="C89" i="22"/>
  <c r="C21" i="22" s="1"/>
  <c r="C88" i="22"/>
  <c r="C20" i="22" s="1"/>
  <c r="F7" i="23" s="1"/>
  <c r="C87" i="22"/>
  <c r="C19" i="22" s="1"/>
  <c r="H7" i="23" s="1"/>
  <c r="C79" i="22"/>
  <c r="C78" i="22"/>
  <c r="I227" i="6"/>
  <c r="J227" i="6"/>
  <c r="K227" i="6"/>
  <c r="L227" i="6"/>
  <c r="M227" i="6"/>
  <c r="I250" i="6"/>
  <c r="J250" i="6"/>
  <c r="K250" i="6"/>
  <c r="S250" i="6" s="1"/>
  <c r="L250" i="6"/>
  <c r="M250" i="6"/>
  <c r="M263" i="6" s="1"/>
  <c r="M12" i="6" s="1"/>
  <c r="C69" i="22"/>
  <c r="C68" i="22"/>
  <c r="C67" i="22"/>
  <c r="F31" i="22"/>
  <c r="C31" i="22"/>
  <c r="F30" i="22"/>
  <c r="C30" i="22"/>
  <c r="F29" i="22"/>
  <c r="C29" i="22"/>
  <c r="F28" i="22"/>
  <c r="C28" i="22"/>
  <c r="I22" i="22"/>
  <c r="I21" i="22"/>
  <c r="I20" i="22"/>
  <c r="F20" i="22"/>
  <c r="I19" i="22"/>
  <c r="F19" i="22"/>
  <c r="A1" i="22"/>
  <c r="B8" i="21"/>
  <c r="B5" i="21"/>
  <c r="B6" i="21"/>
  <c r="B7" i="21"/>
  <c r="A1" i="21"/>
  <c r="A1" i="20"/>
  <c r="L10" i="15"/>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S125" i="10"/>
  <c r="S126" i="10"/>
  <c r="S127" i="10"/>
  <c r="S128" i="10"/>
  <c r="S129" i="10"/>
  <c r="P129" i="10"/>
  <c r="N129" i="10"/>
  <c r="M129" i="10"/>
  <c r="L129" i="10"/>
  <c r="K125" i="10"/>
  <c r="K126" i="10"/>
  <c r="K127" i="10"/>
  <c r="K128" i="10"/>
  <c r="H129" i="10"/>
  <c r="F129" i="10"/>
  <c r="E129" i="10"/>
  <c r="D129" i="10"/>
  <c r="C125" i="10"/>
  <c r="C126" i="10"/>
  <c r="C127" i="10"/>
  <c r="C128" i="10"/>
  <c r="X120" i="10"/>
  <c r="W120" i="10"/>
  <c r="V120" i="10"/>
  <c r="U120" i="10"/>
  <c r="T120" i="10"/>
  <c r="S120" i="10"/>
  <c r="P120" i="10"/>
  <c r="O120" i="10"/>
  <c r="N120" i="10"/>
  <c r="M120" i="10"/>
  <c r="L120" i="10"/>
  <c r="K120" i="10"/>
  <c r="H120" i="10"/>
  <c r="F120" i="10"/>
  <c r="E120" i="10"/>
  <c r="D120" i="10"/>
  <c r="C120" i="10"/>
  <c r="X111" i="10"/>
  <c r="W111" i="10"/>
  <c r="V111" i="10"/>
  <c r="U111" i="10"/>
  <c r="T111" i="10"/>
  <c r="S107" i="10"/>
  <c r="G97" i="10" s="1"/>
  <c r="S108" i="10"/>
  <c r="S111" i="10" s="1"/>
  <c r="S109" i="10"/>
  <c r="G99" i="10" s="1"/>
  <c r="S110" i="10"/>
  <c r="P111" i="10"/>
  <c r="O111" i="10"/>
  <c r="N111" i="10"/>
  <c r="M111" i="10"/>
  <c r="L111" i="10"/>
  <c r="K107" i="10"/>
  <c r="F97" i="10" s="1"/>
  <c r="K108" i="10"/>
  <c r="K109" i="10"/>
  <c r="F99" i="10" s="1"/>
  <c r="H99" i="10" s="1"/>
  <c r="K110" i="10"/>
  <c r="F100" i="10" s="1"/>
  <c r="H111" i="10"/>
  <c r="G111" i="10"/>
  <c r="F111" i="10"/>
  <c r="E111" i="10"/>
  <c r="D111" i="10"/>
  <c r="C107" i="10"/>
  <c r="C108" i="10"/>
  <c r="D98" i="10" s="1"/>
  <c r="C109" i="10"/>
  <c r="C110" i="10"/>
  <c r="D100" i="10" s="1"/>
  <c r="C100" i="10" s="1"/>
  <c r="G100" i="10"/>
  <c r="E101" i="10"/>
  <c r="D97" i="10"/>
  <c r="C97" i="10" s="1"/>
  <c r="D99" i="10"/>
  <c r="C99" i="10" s="1"/>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S79" i="10"/>
  <c r="S80" i="10"/>
  <c r="S83" i="10" s="1"/>
  <c r="S81" i="10"/>
  <c r="S82" i="10"/>
  <c r="P83" i="10"/>
  <c r="O83" i="10"/>
  <c r="N83" i="10"/>
  <c r="M83" i="10"/>
  <c r="L83" i="10"/>
  <c r="K79" i="10"/>
  <c r="K80" i="10"/>
  <c r="K81" i="10"/>
  <c r="K82" i="10"/>
  <c r="H83" i="10"/>
  <c r="G83" i="10"/>
  <c r="F83" i="10"/>
  <c r="E83" i="10"/>
  <c r="D83" i="10"/>
  <c r="C79" i="10"/>
  <c r="C80" i="10"/>
  <c r="C83" i="10" s="1"/>
  <c r="C81" i="10"/>
  <c r="C82" i="10"/>
  <c r="X74" i="10"/>
  <c r="W74" i="10"/>
  <c r="V74" i="10"/>
  <c r="U74" i="10"/>
  <c r="T74" i="10"/>
  <c r="S74" i="10"/>
  <c r="P74" i="10"/>
  <c r="O74" i="10"/>
  <c r="N74" i="10"/>
  <c r="M74" i="10"/>
  <c r="L74" i="10"/>
  <c r="K74" i="10"/>
  <c r="H74" i="10"/>
  <c r="G74" i="10"/>
  <c r="F74" i="10"/>
  <c r="E74" i="10"/>
  <c r="D74" i="10"/>
  <c r="C74" i="10"/>
  <c r="X65" i="10"/>
  <c r="W65" i="10"/>
  <c r="V65" i="10"/>
  <c r="U65" i="10"/>
  <c r="T65" i="10"/>
  <c r="S61" i="10"/>
  <c r="S62" i="10"/>
  <c r="S63" i="10"/>
  <c r="S64" i="10"/>
  <c r="P65" i="10"/>
  <c r="O65" i="10"/>
  <c r="N65" i="10"/>
  <c r="M65" i="10"/>
  <c r="L65" i="10"/>
  <c r="K61" i="10"/>
  <c r="K62" i="10"/>
  <c r="K63" i="10"/>
  <c r="K64" i="10"/>
  <c r="H65" i="10"/>
  <c r="G65" i="10"/>
  <c r="F65" i="10"/>
  <c r="E65" i="10"/>
  <c r="D65" i="10"/>
  <c r="C61" i="10"/>
  <c r="C62" i="10"/>
  <c r="C63" i="10"/>
  <c r="C64" i="10"/>
  <c r="H55" i="10"/>
  <c r="G55" i="10"/>
  <c r="F55" i="10"/>
  <c r="E55" i="10"/>
  <c r="D55" i="10"/>
  <c r="C55" i="10"/>
  <c r="M46" i="10"/>
  <c r="M10" i="10" s="1"/>
  <c r="M25" i="10" s="1"/>
  <c r="L46" i="10"/>
  <c r="K46" i="10"/>
  <c r="J46" i="10"/>
  <c r="I46" i="10"/>
  <c r="H46" i="10"/>
  <c r="G46" i="10"/>
  <c r="F46" i="10"/>
  <c r="F10" i="10" s="1"/>
  <c r="F25" i="10" s="1"/>
  <c r="E46" i="10"/>
  <c r="E10" i="10" s="1"/>
  <c r="E25" i="10" s="1"/>
  <c r="D46" i="10"/>
  <c r="M37" i="10"/>
  <c r="L37" i="10"/>
  <c r="K37" i="10"/>
  <c r="J37" i="10"/>
  <c r="I37" i="10"/>
  <c r="H37" i="10"/>
  <c r="H10" i="10" s="1"/>
  <c r="H25" i="10" s="1"/>
  <c r="G37" i="10"/>
  <c r="G10" i="10" s="1"/>
  <c r="G25" i="10" s="1"/>
  <c r="F37" i="10"/>
  <c r="E37" i="10"/>
  <c r="D37" i="10"/>
  <c r="L10" i="10"/>
  <c r="L25" i="10" s="1"/>
  <c r="K10" i="10"/>
  <c r="K25" i="10" s="1"/>
  <c r="J10" i="10"/>
  <c r="J25" i="10" s="1"/>
  <c r="I10" i="10"/>
  <c r="I25" i="10" s="1"/>
  <c r="D10" i="10"/>
  <c r="D25" i="10" s="1"/>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D240" i="6"/>
  <c r="D11" i="6" s="1"/>
  <c r="E240" i="6"/>
  <c r="F240" i="6"/>
  <c r="G240" i="6"/>
  <c r="H240" i="6"/>
  <c r="I231" i="6"/>
  <c r="I235" i="6"/>
  <c r="I239" i="6"/>
  <c r="S239" i="6" s="1"/>
  <c r="J231" i="6"/>
  <c r="J240" i="6" s="1"/>
  <c r="J11" i="6" s="1"/>
  <c r="J235" i="6"/>
  <c r="J239" i="6"/>
  <c r="K231" i="6"/>
  <c r="K235" i="6"/>
  <c r="K239" i="6"/>
  <c r="L231" i="6"/>
  <c r="L235" i="6"/>
  <c r="L239" i="6"/>
  <c r="M231" i="6"/>
  <c r="M235" i="6"/>
  <c r="M239" i="6"/>
  <c r="D263" i="6"/>
  <c r="D12" i="6" s="1"/>
  <c r="E263" i="6"/>
  <c r="E12" i="6" s="1"/>
  <c r="F263" i="6"/>
  <c r="G263" i="6"/>
  <c r="H263" i="6"/>
  <c r="H12" i="6" s="1"/>
  <c r="P12" i="6" s="1"/>
  <c r="I254" i="6"/>
  <c r="I258" i="6"/>
  <c r="I262" i="6"/>
  <c r="I263" i="6"/>
  <c r="I12" i="6" s="1"/>
  <c r="J254" i="6"/>
  <c r="S254" i="6" s="1"/>
  <c r="J258" i="6"/>
  <c r="S258" i="6" s="1"/>
  <c r="J262" i="6"/>
  <c r="S262" i="6" s="1"/>
  <c r="J263" i="6"/>
  <c r="J12" i="6" s="1"/>
  <c r="K254" i="6"/>
  <c r="K258" i="6"/>
  <c r="K262" i="6"/>
  <c r="L254" i="6"/>
  <c r="L258" i="6"/>
  <c r="L262" i="6"/>
  <c r="L263" i="6"/>
  <c r="L12" i="6" s="1"/>
  <c r="M254" i="6"/>
  <c r="M258" i="6"/>
  <c r="M262" i="6"/>
  <c r="Q250" i="6"/>
  <c r="Q254" i="6"/>
  <c r="Q258" i="6"/>
  <c r="Q262" i="6"/>
  <c r="T262" i="6" s="1"/>
  <c r="P250" i="6"/>
  <c r="P254" i="6"/>
  <c r="P258" i="6"/>
  <c r="P262" i="6"/>
  <c r="O250" i="6"/>
  <c r="O254" i="6"/>
  <c r="O258" i="6"/>
  <c r="O262" i="6"/>
  <c r="T254" i="6"/>
  <c r="T250" i="6"/>
  <c r="Q227" i="6"/>
  <c r="Q231" i="6"/>
  <c r="Q235" i="6"/>
  <c r="Q239" i="6"/>
  <c r="T239" i="6" s="1"/>
  <c r="P227" i="6"/>
  <c r="P231" i="6"/>
  <c r="P235" i="6"/>
  <c r="P240" i="6" s="1"/>
  <c r="P239" i="6"/>
  <c r="O227" i="6"/>
  <c r="O231" i="6"/>
  <c r="O235" i="6"/>
  <c r="O239" i="6"/>
  <c r="T235" i="6"/>
  <c r="T227" i="6"/>
  <c r="Q192" i="6"/>
  <c r="Q200" i="6"/>
  <c r="Q208" i="6"/>
  <c r="Q216" i="6"/>
  <c r="Q217" i="6"/>
  <c r="T217" i="6" s="1"/>
  <c r="I192" i="6"/>
  <c r="J192" i="6"/>
  <c r="J217" i="6" s="1"/>
  <c r="K192" i="6"/>
  <c r="S192" i="6" s="1"/>
  <c r="L192" i="6"/>
  <c r="M192" i="6"/>
  <c r="I200" i="6"/>
  <c r="J200" i="6"/>
  <c r="K200" i="6"/>
  <c r="L200" i="6"/>
  <c r="M200" i="6"/>
  <c r="M217" i="6" s="1"/>
  <c r="I208" i="6"/>
  <c r="J208" i="6"/>
  <c r="K208" i="6"/>
  <c r="L208" i="6"/>
  <c r="M208" i="6"/>
  <c r="I216" i="6"/>
  <c r="J216" i="6"/>
  <c r="K216" i="6"/>
  <c r="L216" i="6"/>
  <c r="M216" i="6"/>
  <c r="P192" i="6"/>
  <c r="P200" i="6"/>
  <c r="P208" i="6"/>
  <c r="P216" i="6"/>
  <c r="O192" i="6"/>
  <c r="O200" i="6"/>
  <c r="O217" i="6" s="1"/>
  <c r="O208" i="6"/>
  <c r="O216" i="6"/>
  <c r="H217" i="6"/>
  <c r="G217" i="6"/>
  <c r="G10" i="6" s="1"/>
  <c r="F217" i="6"/>
  <c r="E217" i="6"/>
  <c r="D217" i="6"/>
  <c r="T216" i="6"/>
  <c r="M215" i="6"/>
  <c r="L215" i="6"/>
  <c r="K215" i="6"/>
  <c r="J215" i="6"/>
  <c r="I215" i="6"/>
  <c r="M212" i="6"/>
  <c r="L212" i="6"/>
  <c r="K212" i="6"/>
  <c r="J212" i="6"/>
  <c r="I212" i="6"/>
  <c r="T208" i="6"/>
  <c r="M207" i="6"/>
  <c r="L207" i="6"/>
  <c r="K207" i="6"/>
  <c r="J207" i="6"/>
  <c r="I207" i="6"/>
  <c r="M204" i="6"/>
  <c r="L204" i="6"/>
  <c r="K204" i="6"/>
  <c r="J204" i="6"/>
  <c r="I204" i="6"/>
  <c r="T200" i="6"/>
  <c r="M199" i="6"/>
  <c r="L199" i="6"/>
  <c r="K199" i="6"/>
  <c r="J199" i="6"/>
  <c r="I199" i="6"/>
  <c r="M196" i="6"/>
  <c r="L196" i="6"/>
  <c r="K196" i="6"/>
  <c r="J196" i="6"/>
  <c r="I196" i="6"/>
  <c r="T192" i="6"/>
  <c r="M191" i="6"/>
  <c r="L191" i="6"/>
  <c r="K191" i="6"/>
  <c r="J191" i="6"/>
  <c r="I191" i="6"/>
  <c r="M188" i="6"/>
  <c r="L188" i="6"/>
  <c r="K188" i="6"/>
  <c r="J188" i="6"/>
  <c r="I188" i="6"/>
  <c r="Q153" i="6"/>
  <c r="Q161" i="6"/>
  <c r="Q169" i="6"/>
  <c r="T169" i="6" s="1"/>
  <c r="Q177" i="6"/>
  <c r="T177" i="6" s="1"/>
  <c r="I153" i="6"/>
  <c r="J153" i="6"/>
  <c r="K153" i="6"/>
  <c r="L153" i="6"/>
  <c r="M153" i="6"/>
  <c r="I161" i="6"/>
  <c r="S161" i="6" s="1"/>
  <c r="J161" i="6"/>
  <c r="J178" i="6" s="1"/>
  <c r="K161" i="6"/>
  <c r="K178" i="6" s="1"/>
  <c r="L161" i="6"/>
  <c r="M161" i="6"/>
  <c r="I169" i="6"/>
  <c r="J169" i="6"/>
  <c r="K169" i="6"/>
  <c r="L169" i="6"/>
  <c r="M169" i="6"/>
  <c r="M178" i="6" s="1"/>
  <c r="I177" i="6"/>
  <c r="J177" i="6"/>
  <c r="K177" i="6"/>
  <c r="L177" i="6"/>
  <c r="S177" i="6" s="1"/>
  <c r="M177" i="6"/>
  <c r="P153" i="6"/>
  <c r="P161" i="6"/>
  <c r="P169" i="6"/>
  <c r="P177" i="6"/>
  <c r="O153" i="6"/>
  <c r="O161" i="6"/>
  <c r="O169" i="6"/>
  <c r="O177" i="6"/>
  <c r="I178" i="6"/>
  <c r="H178" i="6"/>
  <c r="G178" i="6"/>
  <c r="F178" i="6"/>
  <c r="E178" i="6"/>
  <c r="D178" i="6"/>
  <c r="M176" i="6"/>
  <c r="L176" i="6"/>
  <c r="K176" i="6"/>
  <c r="J176" i="6"/>
  <c r="I176" i="6"/>
  <c r="M173" i="6"/>
  <c r="L173" i="6"/>
  <c r="K173" i="6"/>
  <c r="J173" i="6"/>
  <c r="I173" i="6"/>
  <c r="M168" i="6"/>
  <c r="L168" i="6"/>
  <c r="K168" i="6"/>
  <c r="J168" i="6"/>
  <c r="I168" i="6"/>
  <c r="M165" i="6"/>
  <c r="L165" i="6"/>
  <c r="K165" i="6"/>
  <c r="J165" i="6"/>
  <c r="I165" i="6"/>
  <c r="T161" i="6"/>
  <c r="M160" i="6"/>
  <c r="L160" i="6"/>
  <c r="K160" i="6"/>
  <c r="J160" i="6"/>
  <c r="I160" i="6"/>
  <c r="M157" i="6"/>
  <c r="L157" i="6"/>
  <c r="K157" i="6"/>
  <c r="J157" i="6"/>
  <c r="I157" i="6"/>
  <c r="T153" i="6"/>
  <c r="M152" i="6"/>
  <c r="L152" i="6"/>
  <c r="K152" i="6"/>
  <c r="J152" i="6"/>
  <c r="I152" i="6"/>
  <c r="M149" i="6"/>
  <c r="L149" i="6"/>
  <c r="K149" i="6"/>
  <c r="J149" i="6"/>
  <c r="I149" i="6"/>
  <c r="M118" i="6"/>
  <c r="M124" i="6"/>
  <c r="M130" i="6"/>
  <c r="M136" i="6"/>
  <c r="L118" i="6"/>
  <c r="L124" i="6"/>
  <c r="L130" i="6"/>
  <c r="L68" i="6" s="1"/>
  <c r="L136" i="6"/>
  <c r="K118" i="6"/>
  <c r="K124" i="6"/>
  <c r="K130" i="6"/>
  <c r="K137" i="6" s="1"/>
  <c r="K136" i="6"/>
  <c r="J118" i="6"/>
  <c r="J124" i="6"/>
  <c r="J130" i="6"/>
  <c r="J136" i="6"/>
  <c r="I118" i="6"/>
  <c r="I124" i="6"/>
  <c r="I130" i="6"/>
  <c r="I137" i="6" s="1"/>
  <c r="I136" i="6"/>
  <c r="H137" i="6"/>
  <c r="G137" i="6"/>
  <c r="F137" i="6"/>
  <c r="E137" i="6"/>
  <c r="D137" i="6"/>
  <c r="M87" i="6"/>
  <c r="M56" i="6" s="1"/>
  <c r="M93" i="6"/>
  <c r="M99" i="6"/>
  <c r="M105" i="6"/>
  <c r="M74" i="6" s="1"/>
  <c r="M106" i="6"/>
  <c r="L87" i="6"/>
  <c r="L56" i="6" s="1"/>
  <c r="L93" i="6"/>
  <c r="L99" i="6"/>
  <c r="L105" i="6"/>
  <c r="L106" i="6" s="1"/>
  <c r="K87" i="6"/>
  <c r="K56" i="6" s="1"/>
  <c r="K93" i="6"/>
  <c r="K99" i="6"/>
  <c r="K105" i="6"/>
  <c r="K74" i="6" s="1"/>
  <c r="J87" i="6"/>
  <c r="J93" i="6"/>
  <c r="J99" i="6"/>
  <c r="J105" i="6"/>
  <c r="I87" i="6"/>
  <c r="I56" i="6" s="1"/>
  <c r="I93" i="6"/>
  <c r="I99" i="6"/>
  <c r="I105" i="6"/>
  <c r="I74" i="6" s="1"/>
  <c r="H106" i="6"/>
  <c r="G106" i="6"/>
  <c r="F106" i="6"/>
  <c r="E106" i="6"/>
  <c r="D106" i="6"/>
  <c r="M52" i="6"/>
  <c r="M53" i="6"/>
  <c r="M54" i="6"/>
  <c r="M55" i="6"/>
  <c r="M58" i="6"/>
  <c r="M59" i="6"/>
  <c r="M60" i="6"/>
  <c r="M61" i="6"/>
  <c r="M64" i="6"/>
  <c r="M65" i="6"/>
  <c r="M66" i="6"/>
  <c r="M67" i="6"/>
  <c r="M70" i="6"/>
  <c r="M71" i="6"/>
  <c r="M72" i="6"/>
  <c r="M73" i="6"/>
  <c r="L52" i="6"/>
  <c r="L53" i="6"/>
  <c r="L75" i="6" s="1"/>
  <c r="L54" i="6"/>
  <c r="L55" i="6"/>
  <c r="L58" i="6"/>
  <c r="L59" i="6"/>
  <c r="L60" i="6"/>
  <c r="L61" i="6"/>
  <c r="L64" i="6"/>
  <c r="L65" i="6"/>
  <c r="L66" i="6"/>
  <c r="L67" i="6"/>
  <c r="L70" i="6"/>
  <c r="L71" i="6"/>
  <c r="L72" i="6"/>
  <c r="L73" i="6"/>
  <c r="K52" i="6"/>
  <c r="K53" i="6"/>
  <c r="K75" i="6" s="1"/>
  <c r="K54" i="6"/>
  <c r="K55" i="6"/>
  <c r="K58" i="6"/>
  <c r="K59" i="6"/>
  <c r="K60" i="6"/>
  <c r="K61" i="6"/>
  <c r="K64" i="6"/>
  <c r="K65" i="6"/>
  <c r="K66" i="6"/>
  <c r="K67" i="6"/>
  <c r="K70" i="6"/>
  <c r="K71" i="6"/>
  <c r="K72" i="6"/>
  <c r="K73" i="6"/>
  <c r="J52" i="6"/>
  <c r="J53" i="6"/>
  <c r="J54" i="6"/>
  <c r="J55" i="6"/>
  <c r="J58" i="6"/>
  <c r="J59" i="6"/>
  <c r="J60" i="6"/>
  <c r="J61" i="6"/>
  <c r="J64" i="6"/>
  <c r="J65" i="6"/>
  <c r="J66" i="6"/>
  <c r="J67" i="6"/>
  <c r="J70" i="6"/>
  <c r="J71" i="6"/>
  <c r="J72" i="6"/>
  <c r="J73" i="6"/>
  <c r="I52" i="6"/>
  <c r="I53" i="6"/>
  <c r="I54" i="6"/>
  <c r="I55" i="6"/>
  <c r="I58" i="6"/>
  <c r="I59" i="6"/>
  <c r="I60" i="6"/>
  <c r="I61" i="6"/>
  <c r="I64" i="6"/>
  <c r="I65" i="6"/>
  <c r="I66" i="6"/>
  <c r="I67" i="6"/>
  <c r="I70" i="6"/>
  <c r="I71" i="6"/>
  <c r="I72" i="6"/>
  <c r="I73" i="6"/>
  <c r="H52" i="6"/>
  <c r="H53" i="6"/>
  <c r="H58" i="6"/>
  <c r="H59" i="6"/>
  <c r="H64" i="6"/>
  <c r="H65" i="6"/>
  <c r="H70" i="6"/>
  <c r="H71" i="6"/>
  <c r="G52" i="6"/>
  <c r="G53" i="6"/>
  <c r="G58" i="6"/>
  <c r="G59" i="6"/>
  <c r="G64" i="6"/>
  <c r="G65" i="6"/>
  <c r="G70" i="6"/>
  <c r="G71" i="6"/>
  <c r="G75" i="6"/>
  <c r="F52" i="6"/>
  <c r="F53" i="6"/>
  <c r="F58" i="6"/>
  <c r="F59" i="6"/>
  <c r="F64" i="6"/>
  <c r="F65" i="6"/>
  <c r="F70" i="6"/>
  <c r="F71" i="6"/>
  <c r="E52" i="6"/>
  <c r="E53" i="6"/>
  <c r="E58" i="6"/>
  <c r="E59" i="6"/>
  <c r="E64" i="6"/>
  <c r="E65" i="6"/>
  <c r="E70" i="6"/>
  <c r="E71" i="6"/>
  <c r="D52" i="6"/>
  <c r="D53" i="6"/>
  <c r="D58" i="6"/>
  <c r="D59" i="6"/>
  <c r="D64" i="6"/>
  <c r="D65" i="6"/>
  <c r="D70" i="6"/>
  <c r="D71" i="6"/>
  <c r="H74" i="6"/>
  <c r="G74" i="6"/>
  <c r="F74" i="6"/>
  <c r="E74" i="6"/>
  <c r="D74" i="6"/>
  <c r="K68" i="6"/>
  <c r="J68" i="6"/>
  <c r="H68" i="6"/>
  <c r="G68" i="6"/>
  <c r="F68" i="6"/>
  <c r="E68" i="6"/>
  <c r="D68" i="6"/>
  <c r="M62" i="6"/>
  <c r="I62" i="6"/>
  <c r="H62" i="6"/>
  <c r="G62" i="6"/>
  <c r="F62" i="6"/>
  <c r="E62" i="6"/>
  <c r="D62" i="6"/>
  <c r="J56" i="6"/>
  <c r="H56" i="6"/>
  <c r="G56" i="6"/>
  <c r="F56" i="6"/>
  <c r="E56" i="6"/>
  <c r="D56" i="6"/>
  <c r="D43" i="6"/>
  <c r="E43" i="6"/>
  <c r="F43" i="6"/>
  <c r="O43" i="6" s="1"/>
  <c r="G43" i="6"/>
  <c r="H43" i="6"/>
  <c r="P43" i="6" s="1"/>
  <c r="I41" i="6"/>
  <c r="I42" i="6"/>
  <c r="I43" i="6" s="1"/>
  <c r="J41" i="6"/>
  <c r="J43" i="6" s="1"/>
  <c r="J42" i="6"/>
  <c r="K41" i="6"/>
  <c r="K42" i="6"/>
  <c r="L41" i="6"/>
  <c r="L42" i="6"/>
  <c r="M41" i="6"/>
  <c r="M42" i="6"/>
  <c r="M43" i="6" s="1"/>
  <c r="D39" i="6"/>
  <c r="E39" i="6"/>
  <c r="F39" i="6"/>
  <c r="G39" i="6"/>
  <c r="H39" i="6"/>
  <c r="I37" i="6"/>
  <c r="I38" i="6"/>
  <c r="J37" i="6"/>
  <c r="J38" i="6"/>
  <c r="K37" i="6"/>
  <c r="K39" i="6" s="1"/>
  <c r="K38" i="6"/>
  <c r="L37" i="6"/>
  <c r="L38" i="6"/>
  <c r="M37" i="6"/>
  <c r="M38" i="6"/>
  <c r="P39" i="6"/>
  <c r="D35" i="6"/>
  <c r="E35" i="6"/>
  <c r="F35" i="6"/>
  <c r="G35" i="6"/>
  <c r="H35" i="6"/>
  <c r="I33" i="6"/>
  <c r="I34" i="6"/>
  <c r="J33" i="6"/>
  <c r="J34" i="6"/>
  <c r="K33" i="6"/>
  <c r="K34" i="6"/>
  <c r="L33" i="6"/>
  <c r="L34" i="6"/>
  <c r="L35" i="6"/>
  <c r="M33" i="6"/>
  <c r="M35" i="6" s="1"/>
  <c r="M34" i="6"/>
  <c r="P35" i="6"/>
  <c r="D31" i="6"/>
  <c r="Q31" i="6" s="1"/>
  <c r="T31" i="6" s="1"/>
  <c r="E31" i="6"/>
  <c r="F31" i="6"/>
  <c r="G31" i="6"/>
  <c r="H31" i="6"/>
  <c r="I29" i="6"/>
  <c r="I30" i="6"/>
  <c r="I31" i="6"/>
  <c r="J29" i="6"/>
  <c r="J31" i="6" s="1"/>
  <c r="J30" i="6"/>
  <c r="K29" i="6"/>
  <c r="K31" i="6" s="1"/>
  <c r="K30" i="6"/>
  <c r="L29" i="6"/>
  <c r="L30" i="6"/>
  <c r="M29" i="6"/>
  <c r="M31" i="6" s="1"/>
  <c r="M30" i="6"/>
  <c r="P31" i="6"/>
  <c r="D22" i="6"/>
  <c r="E22" i="6"/>
  <c r="F22" i="6"/>
  <c r="G22" i="6"/>
  <c r="H22" i="6"/>
  <c r="P22" i="6" s="1"/>
  <c r="I22" i="6"/>
  <c r="J22" i="6"/>
  <c r="K22" i="6"/>
  <c r="L22" i="6"/>
  <c r="M22" i="6"/>
  <c r="Q21" i="6"/>
  <c r="T21" i="6" s="1"/>
  <c r="S21" i="6"/>
  <c r="P21" i="6"/>
  <c r="O21" i="6"/>
  <c r="Q20" i="6"/>
  <c r="T20" i="6" s="1"/>
  <c r="S20" i="6"/>
  <c r="P20" i="6"/>
  <c r="O20" i="6"/>
  <c r="H11" i="6"/>
  <c r="G11" i="6"/>
  <c r="G12" i="6"/>
  <c r="F11" i="6"/>
  <c r="F13" i="6" s="1"/>
  <c r="F12" i="6"/>
  <c r="Q14" i="6"/>
  <c r="T14" i="6" s="1"/>
  <c r="S14" i="6"/>
  <c r="P14" i="6"/>
  <c r="O14" i="6"/>
  <c r="D10" i="6"/>
  <c r="H10" i="6"/>
  <c r="P10" i="6" s="1"/>
  <c r="A1" i="2"/>
  <c r="A1" i="1"/>
  <c r="P29" i="25"/>
  <c r="Q29" i="25" s="1"/>
  <c r="P30" i="25"/>
  <c r="AN8" i="23"/>
  <c r="AM8" i="23"/>
  <c r="F13" i="25"/>
  <c r="G13" i="25"/>
  <c r="I39" i="23"/>
  <c r="AM39" i="23"/>
  <c r="AN9" i="23"/>
  <c r="AN38" i="23"/>
  <c r="AM12" i="23"/>
  <c r="I11" i="23"/>
  <c r="G7" i="20"/>
  <c r="G6" i="20"/>
  <c r="G8" i="20"/>
  <c r="S263" i="6" l="1"/>
  <c r="H97" i="10"/>
  <c r="Q263" i="6"/>
  <c r="T263" i="6" s="1"/>
  <c r="T23" i="9"/>
  <c r="T43" i="9"/>
  <c r="T47" i="9"/>
  <c r="L137" i="6"/>
  <c r="C65" i="10"/>
  <c r="C129" i="10"/>
  <c r="I33" i="23"/>
  <c r="AN19" i="23"/>
  <c r="H13" i="6"/>
  <c r="L31" i="6"/>
  <c r="J35" i="6"/>
  <c r="J39" i="6"/>
  <c r="S39" i="6" s="1"/>
  <c r="Q39" i="6"/>
  <c r="T39" i="6" s="1"/>
  <c r="Q178" i="6"/>
  <c r="T178" i="6" s="1"/>
  <c r="F10" i="6"/>
  <c r="T258" i="6"/>
  <c r="S235" i="6"/>
  <c r="K65" i="10"/>
  <c r="K129" i="10"/>
  <c r="C75" i="22"/>
  <c r="AM15" i="23"/>
  <c r="Q34" i="25"/>
  <c r="T12" i="7"/>
  <c r="T16" i="7"/>
  <c r="T29" i="9"/>
  <c r="T51" i="9"/>
  <c r="T62" i="9"/>
  <c r="T82" i="9"/>
  <c r="T138" i="9"/>
  <c r="G13" i="6"/>
  <c r="K106" i="6"/>
  <c r="S231" i="6"/>
  <c r="AM24" i="23"/>
  <c r="I35" i="6"/>
  <c r="M39" i="6"/>
  <c r="F75" i="6"/>
  <c r="M137" i="6"/>
  <c r="E10" i="6"/>
  <c r="O178" i="6"/>
  <c r="S169" i="6"/>
  <c r="L178" i="6"/>
  <c r="O263" i="6"/>
  <c r="K263" i="6"/>
  <c r="K12" i="6" s="1"/>
  <c r="F13" i="21"/>
  <c r="AM37" i="23"/>
  <c r="H20" i="24"/>
  <c r="A1" i="27"/>
  <c r="F66" i="25"/>
  <c r="S41" i="25"/>
  <c r="T20" i="9"/>
  <c r="T55" i="9"/>
  <c r="T66" i="9"/>
  <c r="T86" i="9"/>
  <c r="T120" i="9"/>
  <c r="T129" i="9"/>
  <c r="G98" i="10"/>
  <c r="G101" i="10" s="1"/>
  <c r="AN15" i="23"/>
  <c r="Q22" i="6"/>
  <c r="T22" i="6" s="1"/>
  <c r="I39" i="6"/>
  <c r="E75" i="6"/>
  <c r="J75" i="6"/>
  <c r="K62" i="6"/>
  <c r="P217" i="6"/>
  <c r="S200" i="6"/>
  <c r="O240" i="6"/>
  <c r="K240" i="6"/>
  <c r="K11" i="6" s="1"/>
  <c r="H100" i="10"/>
  <c r="AM36" i="23"/>
  <c r="AM21" i="23"/>
  <c r="T13" i="9"/>
  <c r="T24" i="9"/>
  <c r="T35" i="9"/>
  <c r="T46" i="9"/>
  <c r="T59" i="9"/>
  <c r="T77" i="9"/>
  <c r="T90" i="9"/>
  <c r="T113" i="9"/>
  <c r="Q43" i="6"/>
  <c r="T43" i="6" s="1"/>
  <c r="S216" i="6"/>
  <c r="S65" i="10"/>
  <c r="L39" i="6"/>
  <c r="D75" i="6"/>
  <c r="I75" i="6"/>
  <c r="J106" i="6"/>
  <c r="J74" i="6"/>
  <c r="S208" i="6"/>
  <c r="Q240" i="6"/>
  <c r="T240" i="6" s="1"/>
  <c r="M240" i="6"/>
  <c r="M11" i="6" s="1"/>
  <c r="F40" i="23"/>
  <c r="K43" i="6"/>
  <c r="S22" i="6"/>
  <c r="O31" i="6"/>
  <c r="K35" i="6"/>
  <c r="Q35" i="6"/>
  <c r="T35" i="6" s="1"/>
  <c r="O39" i="6"/>
  <c r="L43" i="6"/>
  <c r="H75" i="6"/>
  <c r="M75" i="6"/>
  <c r="I106" i="6"/>
  <c r="P178" i="6"/>
  <c r="S153" i="6"/>
  <c r="L217" i="6"/>
  <c r="P263" i="6"/>
  <c r="K83" i="10"/>
  <c r="K111" i="10"/>
  <c r="L240" i="6"/>
  <c r="L11" i="6" s="1"/>
  <c r="I29" i="23"/>
  <c r="T29" i="23" s="1"/>
  <c r="AM19" i="23"/>
  <c r="T15" i="9"/>
  <c r="T21" i="9"/>
  <c r="T28" i="9"/>
  <c r="T56" i="9"/>
  <c r="T87" i="9"/>
  <c r="T94" i="9"/>
  <c r="T101" i="9"/>
  <c r="T130" i="9"/>
  <c r="T137" i="9"/>
  <c r="I35" i="23"/>
  <c r="S35" i="23" s="1"/>
  <c r="AM35" i="23"/>
  <c r="H19" i="24"/>
  <c r="G12" i="25"/>
  <c r="G15" i="25" s="1"/>
  <c r="G28" i="25" s="1"/>
  <c r="P41" i="25"/>
  <c r="I8" i="23"/>
  <c r="AM32" i="23"/>
  <c r="H15" i="25"/>
  <c r="H28" i="25" s="1"/>
  <c r="I12" i="23"/>
  <c r="I10" i="23"/>
  <c r="L6" i="22"/>
  <c r="B22" i="21"/>
  <c r="B23" i="21" s="1"/>
  <c r="U35" i="23"/>
  <c r="AM33" i="23"/>
  <c r="I12" i="25"/>
  <c r="I15" i="25" s="1"/>
  <c r="I28" i="25" s="1"/>
  <c r="G40" i="23"/>
  <c r="Q41" i="25"/>
  <c r="N41" i="25" s="1"/>
  <c r="R29" i="25"/>
  <c r="R30" i="25"/>
  <c r="Q30" i="25"/>
  <c r="E15" i="25"/>
  <c r="E28" i="25" s="1"/>
  <c r="D15" i="25"/>
  <c r="T33" i="23"/>
  <c r="G61" i="25"/>
  <c r="G64" i="25"/>
  <c r="P63" i="25"/>
  <c r="R63" i="25" s="1"/>
  <c r="G63" i="25"/>
  <c r="G62" i="25"/>
  <c r="G65" i="25"/>
  <c r="E13" i="21"/>
  <c r="D13" i="21"/>
  <c r="D22" i="21" s="1"/>
  <c r="D23" i="21" s="1"/>
  <c r="AY32" i="23" s="1"/>
  <c r="C22" i="21"/>
  <c r="C23" i="21" s="1"/>
  <c r="AI28" i="23" s="1"/>
  <c r="E14" i="21"/>
  <c r="F14" i="21"/>
  <c r="AY23" i="23"/>
  <c r="AY38" i="23"/>
  <c r="AY35" i="23"/>
  <c r="AY31" i="23"/>
  <c r="H40" i="23"/>
  <c r="S39" i="23"/>
  <c r="I38" i="23"/>
  <c r="U38" i="23" s="1"/>
  <c r="D40" i="23"/>
  <c r="W31" i="23"/>
  <c r="W39" i="23"/>
  <c r="V35" i="23"/>
  <c r="V31" i="23"/>
  <c r="V23" i="23"/>
  <c r="AN14" i="23"/>
  <c r="I20" i="23"/>
  <c r="AM10" i="23"/>
  <c r="S33" i="23"/>
  <c r="T39" i="23"/>
  <c r="T35" i="23"/>
  <c r="T31" i="23"/>
  <c r="T23" i="23"/>
  <c r="U33" i="23"/>
  <c r="V39" i="23"/>
  <c r="I36" i="23"/>
  <c r="W36" i="23" s="1"/>
  <c r="I34" i="23"/>
  <c r="W34" i="23" s="1"/>
  <c r="I32" i="23"/>
  <c r="U32" i="23" s="1"/>
  <c r="I30" i="23"/>
  <c r="T30" i="23" s="1"/>
  <c r="I28" i="23"/>
  <c r="U28" i="23" s="1"/>
  <c r="I22" i="23"/>
  <c r="W22" i="23" s="1"/>
  <c r="AM34" i="23"/>
  <c r="AM30" i="23"/>
  <c r="AM26" i="23"/>
  <c r="AM22" i="23"/>
  <c r="AM18" i="23"/>
  <c r="AM14" i="23"/>
  <c r="I37" i="23"/>
  <c r="P66" i="25" s="1"/>
  <c r="U39" i="23"/>
  <c r="W23" i="23"/>
  <c r="W35" i="23"/>
  <c r="T34" i="23"/>
  <c r="T22" i="23"/>
  <c r="V33" i="23"/>
  <c r="V29" i="23"/>
  <c r="AN24" i="23"/>
  <c r="AN18" i="23"/>
  <c r="I26" i="23"/>
  <c r="I16" i="23"/>
  <c r="W33" i="23"/>
  <c r="S38" i="23"/>
  <c r="S34" i="23"/>
  <c r="S22" i="23"/>
  <c r="V34" i="23"/>
  <c r="V22" i="23"/>
  <c r="L5" i="22"/>
  <c r="D101" i="10"/>
  <c r="C98" i="10"/>
  <c r="C101" i="10" s="1"/>
  <c r="F98" i="10"/>
  <c r="C111" i="10"/>
  <c r="I53" i="22"/>
  <c r="I52" i="22"/>
  <c r="I49" i="22"/>
  <c r="C97" i="22"/>
  <c r="C40" i="22" s="1"/>
  <c r="C76" i="22"/>
  <c r="C98" i="22"/>
  <c r="C41" i="22" s="1"/>
  <c r="C77" i="22"/>
  <c r="C55" i="22"/>
  <c r="AR37" i="23"/>
  <c r="G6" i="22"/>
  <c r="Q12" i="6"/>
  <c r="T12" i="6" s="1"/>
  <c r="O12" i="6"/>
  <c r="F15" i="6"/>
  <c r="F16" i="6"/>
  <c r="Q10" i="6"/>
  <c r="T10" i="6" s="1"/>
  <c r="S31" i="6"/>
  <c r="S35" i="6"/>
  <c r="K10" i="6"/>
  <c r="S217" i="6"/>
  <c r="S12" i="6"/>
  <c r="J13" i="6"/>
  <c r="M13" i="6"/>
  <c r="S178" i="6"/>
  <c r="H15" i="6"/>
  <c r="P15" i="6" s="1"/>
  <c r="H16" i="6"/>
  <c r="P13" i="6"/>
  <c r="G16" i="6"/>
  <c r="G15" i="6"/>
  <c r="D13" i="6"/>
  <c r="S43" i="6"/>
  <c r="M10" i="6"/>
  <c r="J10" i="6"/>
  <c r="K13" i="6"/>
  <c r="L13" i="6"/>
  <c r="E11" i="6"/>
  <c r="E13" i="6" s="1"/>
  <c r="L74" i="6"/>
  <c r="J137" i="6"/>
  <c r="S227" i="6"/>
  <c r="S240" i="6" s="1"/>
  <c r="O10" i="6"/>
  <c r="P11" i="6"/>
  <c r="O22" i="6"/>
  <c r="O35" i="6"/>
  <c r="I68" i="6"/>
  <c r="M68" i="6"/>
  <c r="T231" i="6"/>
  <c r="L62" i="6"/>
  <c r="I217" i="6"/>
  <c r="J62" i="6"/>
  <c r="K217" i="6"/>
  <c r="I240" i="6"/>
  <c r="I11" i="6" s="1"/>
  <c r="C66" i="22"/>
  <c r="AS28" i="23"/>
  <c r="E7" i="23"/>
  <c r="E40" i="23" s="1"/>
  <c r="G70" i="25"/>
  <c r="D28" i="25"/>
  <c r="E29" i="25"/>
  <c r="C48" i="25"/>
  <c r="AT36" i="23"/>
  <c r="AT32" i="23"/>
  <c r="AQ34" i="23"/>
  <c r="AH30" i="23"/>
  <c r="AT30" i="23"/>
  <c r="AH39" i="23"/>
  <c r="AQ37" i="23"/>
  <c r="AQ29" i="23"/>
  <c r="AR29" i="23"/>
  <c r="AY29" i="23" s="1"/>
  <c r="AQ33" i="23"/>
  <c r="AH32" i="23"/>
  <c r="AT34" i="23"/>
  <c r="AT35" i="23"/>
  <c r="BA35" i="23" s="1"/>
  <c r="AS36" i="23"/>
  <c r="AH38" i="23"/>
  <c r="AH22" i="23"/>
  <c r="AH31" i="23"/>
  <c r="AT31" i="23"/>
  <c r="BA31" i="23" s="1"/>
  <c r="AS31" i="23"/>
  <c r="E32" i="24"/>
  <c r="AR34" i="23"/>
  <c r="AY34" i="23" s="1"/>
  <c r="AI37" i="23"/>
  <c r="AS37" i="23"/>
  <c r="AS33" i="23"/>
  <c r="AS29" i="23"/>
  <c r="AT33" i="23"/>
  <c r="AT29" i="23"/>
  <c r="AQ39" i="23"/>
  <c r="AQ35" i="23"/>
  <c r="AQ31" i="23"/>
  <c r="AH35" i="23"/>
  <c r="AH23" i="23"/>
  <c r="AH36" i="23"/>
  <c r="AH28" i="23"/>
  <c r="AS34" i="23"/>
  <c r="AR33" i="23"/>
  <c r="AY33" i="23" s="1"/>
  <c r="AQ36" i="23"/>
  <c r="AQ28" i="23"/>
  <c r="AH37" i="23" l="1"/>
  <c r="F22" i="21"/>
  <c r="F23" i="21" s="1"/>
  <c r="W29" i="23"/>
  <c r="L10" i="6"/>
  <c r="I10" i="6"/>
  <c r="S10" i="6" s="1"/>
  <c r="AY37" i="23"/>
  <c r="U30" i="23"/>
  <c r="S28" i="23"/>
  <c r="S29" i="23"/>
  <c r="AY39" i="23"/>
  <c r="AY28" i="23"/>
  <c r="O11" i="6"/>
  <c r="D266" i="6"/>
  <c r="U34" i="23"/>
  <c r="AY30" i="23"/>
  <c r="AY22" i="23"/>
  <c r="T28" i="23"/>
  <c r="U29" i="23"/>
  <c r="AI29" i="23"/>
  <c r="AI32" i="23"/>
  <c r="BA30" i="23"/>
  <c r="BA32" i="23"/>
  <c r="V36" i="23"/>
  <c r="T36" i="23"/>
  <c r="W37" i="23"/>
  <c r="S36" i="23"/>
  <c r="AJ36" i="23"/>
  <c r="AJ35" i="23"/>
  <c r="BA33" i="23"/>
  <c r="V28" i="23"/>
  <c r="W28" i="23"/>
  <c r="BA23" i="23"/>
  <c r="AI31" i="23"/>
  <c r="AH34" i="23"/>
  <c r="AH33" i="23"/>
  <c r="AY36" i="23"/>
  <c r="V37" i="23"/>
  <c r="AZ39" i="23"/>
  <c r="BA29" i="23"/>
  <c r="AZ33" i="23"/>
  <c r="AJ37" i="23"/>
  <c r="AI22" i="23"/>
  <c r="AI39" i="23"/>
  <c r="AI23" i="23"/>
  <c r="BA36" i="23"/>
  <c r="C49" i="25"/>
  <c r="AZ28" i="23"/>
  <c r="T37" i="23"/>
  <c r="S37" i="23"/>
  <c r="AH29" i="23"/>
  <c r="S30" i="25"/>
  <c r="S29" i="25"/>
  <c r="Q65" i="25"/>
  <c r="R65" i="25" s="1"/>
  <c r="W30" i="23"/>
  <c r="U36" i="23"/>
  <c r="AN40" i="23"/>
  <c r="AI34" i="23"/>
  <c r="BA38" i="23"/>
  <c r="AJ33" i="23"/>
  <c r="AI33" i="23"/>
  <c r="AZ36" i="23"/>
  <c r="AI38" i="23"/>
  <c r="AI35" i="23"/>
  <c r="AI30" i="23"/>
  <c r="AJ38" i="23"/>
  <c r="AZ35" i="23"/>
  <c r="BA22" i="23"/>
  <c r="AZ30" i="23"/>
  <c r="BA39" i="23"/>
  <c r="AJ34" i="23"/>
  <c r="AZ22" i="23"/>
  <c r="AZ34" i="23"/>
  <c r="AJ29" i="23"/>
  <c r="AZ29" i="23"/>
  <c r="AZ37" i="23"/>
  <c r="AZ31" i="23"/>
  <c r="AJ23" i="23"/>
  <c r="AJ39" i="23"/>
  <c r="BA34" i="23"/>
  <c r="AJ28" i="23"/>
  <c r="AJ22" i="23"/>
  <c r="BA37" i="23"/>
  <c r="BA28" i="23"/>
  <c r="AJ31" i="23"/>
  <c r="AI36" i="23"/>
  <c r="G66" i="25"/>
  <c r="AJ32" i="23"/>
  <c r="AZ38" i="23"/>
  <c r="AZ23" i="23"/>
  <c r="AJ30" i="23"/>
  <c r="AZ32" i="23"/>
  <c r="E22" i="21"/>
  <c r="E23" i="21" s="1"/>
  <c r="AX29" i="23" s="1"/>
  <c r="I40" i="23"/>
  <c r="P68" i="25"/>
  <c r="P69" i="25"/>
  <c r="Q66" i="25"/>
  <c r="R66" i="25" s="1"/>
  <c r="S32" i="23"/>
  <c r="T32" i="23"/>
  <c r="T38" i="23"/>
  <c r="W32" i="23"/>
  <c r="V30" i="23"/>
  <c r="U22" i="23"/>
  <c r="S30" i="23"/>
  <c r="V38" i="23"/>
  <c r="U37" i="23"/>
  <c r="W38" i="23"/>
  <c r="AM40" i="23"/>
  <c r="V32" i="23"/>
  <c r="G9" i="22"/>
  <c r="H98" i="10"/>
  <c r="H101" i="10" s="1"/>
  <c r="F101" i="10"/>
  <c r="F50" i="22"/>
  <c r="I50" i="22" s="1"/>
  <c r="F51" i="22"/>
  <c r="I51" i="22" s="1"/>
  <c r="I41" i="22"/>
  <c r="F41" i="22"/>
  <c r="I40" i="22"/>
  <c r="F40" i="22"/>
  <c r="I13" i="6"/>
  <c r="S11" i="6"/>
  <c r="O13" i="6"/>
  <c r="D16" i="6"/>
  <c r="D15" i="6"/>
  <c r="Q13" i="6"/>
  <c r="T13" i="6" s="1"/>
  <c r="M16" i="6"/>
  <c r="M15" i="6"/>
  <c r="K15" i="6"/>
  <c r="K16" i="6"/>
  <c r="Q11" i="6"/>
  <c r="T11" i="6" s="1"/>
  <c r="L15" i="6"/>
  <c r="L16" i="6"/>
  <c r="E15" i="6"/>
  <c r="E16" i="6"/>
  <c r="J16" i="6"/>
  <c r="J15" i="6"/>
  <c r="P35" i="25"/>
  <c r="Q35" i="25"/>
  <c r="R35" i="25"/>
  <c r="S35" i="25"/>
  <c r="O35" i="25"/>
  <c r="G9" i="20"/>
  <c r="G10" i="22"/>
  <c r="G10" i="20"/>
  <c r="AX37" i="23" l="1"/>
  <c r="AX33" i="23"/>
  <c r="G7" i="22"/>
  <c r="AX31" i="23"/>
  <c r="AX22" i="23"/>
  <c r="AG37" i="23"/>
  <c r="AG32" i="23"/>
  <c r="AG39" i="23"/>
  <c r="AG31" i="23"/>
  <c r="AG34" i="23"/>
  <c r="AG22" i="23"/>
  <c r="AG36" i="23"/>
  <c r="AX38" i="23"/>
  <c r="AG28" i="23"/>
  <c r="AX23" i="23"/>
  <c r="AG30" i="23"/>
  <c r="AG35" i="23"/>
  <c r="AX30" i="23"/>
  <c r="AX32" i="23"/>
  <c r="AG29" i="23"/>
  <c r="AG23" i="23"/>
  <c r="AG33" i="23"/>
  <c r="AG38" i="23"/>
  <c r="AX39" i="23"/>
  <c r="AX36" i="23"/>
  <c r="AX28" i="23"/>
  <c r="AX34" i="23"/>
  <c r="AX35" i="23"/>
  <c r="Q69" i="25"/>
  <c r="R69" i="25" s="1"/>
  <c r="Q68" i="25"/>
  <c r="R68" i="25" s="1"/>
  <c r="J75" i="25" s="1"/>
  <c r="P75" i="25" s="1"/>
  <c r="P77" i="25" s="1"/>
  <c r="G8" i="22"/>
  <c r="J50" i="22"/>
  <c r="J49" i="22"/>
  <c r="J52" i="22"/>
  <c r="J53" i="22"/>
  <c r="J51" i="22"/>
  <c r="O15" i="6"/>
  <c r="Q15" i="6"/>
  <c r="T15" i="6" s="1"/>
  <c r="S13" i="6"/>
  <c r="I15" i="6"/>
  <c r="S15" i="6" s="1"/>
  <c r="I16" i="6"/>
  <c r="I10" i="25"/>
  <c r="I22" i="25" s="1"/>
  <c r="S37" i="25"/>
  <c r="S38" i="25" s="1"/>
  <c r="D10" i="25"/>
  <c r="D22" i="25" s="1"/>
  <c r="O37" i="25"/>
  <c r="O38" i="25" s="1"/>
  <c r="P37" i="25"/>
  <c r="P38" i="25" s="1"/>
  <c r="E10" i="25"/>
  <c r="E22" i="25" s="1"/>
  <c r="Q37" i="25"/>
  <c r="Q38" i="25" s="1"/>
  <c r="G10" i="25"/>
  <c r="G22" i="25" s="1"/>
  <c r="R37" i="25"/>
  <c r="R38" i="25" s="1"/>
  <c r="H10" i="25"/>
  <c r="H22" i="25" s="1"/>
  <c r="G11" i="20"/>
  <c r="H10" i="20" s="1"/>
  <c r="H7" i="22" l="1"/>
  <c r="E17" i="24" s="1"/>
  <c r="H48" i="25" s="1"/>
  <c r="M48" i="25" s="1"/>
  <c r="H9" i="22"/>
  <c r="H6" i="22"/>
  <c r="D17" i="24" s="1"/>
  <c r="I47" i="25" s="1"/>
  <c r="H10" i="22"/>
  <c r="G17" i="24" s="1"/>
  <c r="E47" i="25" s="1"/>
  <c r="H8" i="22"/>
  <c r="F17" i="24" s="1"/>
  <c r="G47" i="25" s="1"/>
  <c r="E7" i="26" s="1"/>
  <c r="I30" i="25"/>
  <c r="I23" i="25"/>
  <c r="I24" i="25" s="1"/>
  <c r="H30" i="25"/>
  <c r="H23" i="25"/>
  <c r="H24" i="25" s="1"/>
  <c r="E30" i="25"/>
  <c r="E23" i="25"/>
  <c r="E24" i="25" s="1"/>
  <c r="D30" i="25"/>
  <c r="D23" i="25"/>
  <c r="D24" i="25" s="1"/>
  <c r="G30" i="25"/>
  <c r="G23" i="25"/>
  <c r="G24" i="25" s="1"/>
  <c r="S39" i="25"/>
  <c r="H7" i="20"/>
  <c r="E22" i="24" s="1"/>
  <c r="N7" i="23" s="1"/>
  <c r="U7" i="23" s="1"/>
  <c r="H6" i="20"/>
  <c r="C22" i="24" s="1"/>
  <c r="H9" i="20"/>
  <c r="G22" i="24" s="1"/>
  <c r="L7" i="23" s="1"/>
  <c r="S7" i="23" s="1"/>
  <c r="H8" i="20"/>
  <c r="F22" i="24" s="1"/>
  <c r="M26" i="23" s="1"/>
  <c r="T26" i="23" s="1"/>
  <c r="AA26" i="23" s="1"/>
  <c r="H47" i="25"/>
  <c r="D6" i="26" l="1"/>
  <c r="C47" i="25"/>
  <c r="C51" i="25" s="1"/>
  <c r="I48" i="25"/>
  <c r="N48" i="25" s="1"/>
  <c r="C17" i="24"/>
  <c r="L26" i="23"/>
  <c r="S26" i="23" s="1"/>
  <c r="Z26" i="23" s="1"/>
  <c r="L21" i="23"/>
  <c r="S21" i="23" s="1"/>
  <c r="Z21" i="23" s="1"/>
  <c r="AG21" i="23" s="1"/>
  <c r="G48" i="25"/>
  <c r="E6" i="26" s="1"/>
  <c r="E48" i="25"/>
  <c r="F6" i="26" s="1"/>
  <c r="M15" i="23"/>
  <c r="T15" i="23" s="1"/>
  <c r="AA15" i="23" s="1"/>
  <c r="AH15" i="23" s="1"/>
  <c r="M8" i="23"/>
  <c r="T8" i="23" s="1"/>
  <c r="AA8" i="23" s="1"/>
  <c r="AR8" i="23" s="1"/>
  <c r="AY8" i="23" s="1"/>
  <c r="M12" i="23"/>
  <c r="T12" i="23" s="1"/>
  <c r="AA12" i="23" s="1"/>
  <c r="AH12" i="23" s="1"/>
  <c r="L14" i="23"/>
  <c r="S14" i="23" s="1"/>
  <c r="Z14" i="23" s="1"/>
  <c r="AQ14" i="23" s="1"/>
  <c r="AX14" i="23" s="1"/>
  <c r="L11" i="23"/>
  <c r="S11" i="23" s="1"/>
  <c r="Z11" i="23" s="1"/>
  <c r="AG11" i="23" s="1"/>
  <c r="L18" i="23"/>
  <c r="S18" i="23" s="1"/>
  <c r="Z18" i="23" s="1"/>
  <c r="AQ18" i="23" s="1"/>
  <c r="AX18" i="23" s="1"/>
  <c r="L17" i="23"/>
  <c r="S17" i="23" s="1"/>
  <c r="Z17" i="23" s="1"/>
  <c r="AG17" i="23" s="1"/>
  <c r="M7" i="23"/>
  <c r="T7" i="23" s="1"/>
  <c r="AA7" i="23" s="1"/>
  <c r="L8" i="23"/>
  <c r="S8" i="23" s="1"/>
  <c r="Z8" i="23" s="1"/>
  <c r="AQ8" i="23" s="1"/>
  <c r="AX8" i="23" s="1"/>
  <c r="N20" i="23"/>
  <c r="U20" i="23" s="1"/>
  <c r="AB20" i="23" s="1"/>
  <c r="AI20" i="23" s="1"/>
  <c r="M16" i="23"/>
  <c r="T16" i="23" s="1"/>
  <c r="AA16" i="23" s="1"/>
  <c r="AH16" i="23" s="1"/>
  <c r="M14" i="23"/>
  <c r="T14" i="23" s="1"/>
  <c r="AA14" i="23" s="1"/>
  <c r="AH14" i="23" s="1"/>
  <c r="M19" i="23"/>
  <c r="T19" i="23" s="1"/>
  <c r="AA19" i="23" s="1"/>
  <c r="AR19" i="23" s="1"/>
  <c r="AY19" i="23" s="1"/>
  <c r="M21" i="23"/>
  <c r="T21" i="23" s="1"/>
  <c r="AA21" i="23" s="1"/>
  <c r="AR21" i="23" s="1"/>
  <c r="AY21" i="23" s="1"/>
  <c r="M17" i="23"/>
  <c r="T17" i="23" s="1"/>
  <c r="AA17" i="23" s="1"/>
  <c r="AR17" i="23" s="1"/>
  <c r="AY17" i="23" s="1"/>
  <c r="M13" i="23"/>
  <c r="T13" i="23" s="1"/>
  <c r="AA13" i="23" s="1"/>
  <c r="AR13" i="23" s="1"/>
  <c r="AY13" i="23" s="1"/>
  <c r="M24" i="23"/>
  <c r="T24" i="23" s="1"/>
  <c r="AA24" i="23" s="1"/>
  <c r="AR24" i="23" s="1"/>
  <c r="AY24" i="23" s="1"/>
  <c r="M11" i="23"/>
  <c r="T11" i="23" s="1"/>
  <c r="AA11" i="23" s="1"/>
  <c r="AH11" i="23" s="1"/>
  <c r="M27" i="23"/>
  <c r="T27" i="23" s="1"/>
  <c r="AA27" i="23" s="1"/>
  <c r="AR27" i="23" s="1"/>
  <c r="AY27" i="23" s="1"/>
  <c r="H11" i="20"/>
  <c r="N12" i="23"/>
  <c r="U12" i="23" s="1"/>
  <c r="AB12" i="23" s="1"/>
  <c r="AS12" i="23" s="1"/>
  <c r="AZ12" i="23" s="1"/>
  <c r="M20" i="23"/>
  <c r="T20" i="23" s="1"/>
  <c r="AA20" i="23" s="1"/>
  <c r="AR20" i="23" s="1"/>
  <c r="AY20" i="23" s="1"/>
  <c r="M25" i="23"/>
  <c r="T25" i="23" s="1"/>
  <c r="AA25" i="23" s="1"/>
  <c r="AH25" i="23" s="1"/>
  <c r="M9" i="23"/>
  <c r="T9" i="23" s="1"/>
  <c r="AA9" i="23" s="1"/>
  <c r="AR9" i="23" s="1"/>
  <c r="AY9" i="23" s="1"/>
  <c r="M18" i="23"/>
  <c r="T18" i="23" s="1"/>
  <c r="AA18" i="23" s="1"/>
  <c r="AH18" i="23" s="1"/>
  <c r="N26" i="23"/>
  <c r="U26" i="23" s="1"/>
  <c r="AB26" i="23" s="1"/>
  <c r="AI26" i="23" s="1"/>
  <c r="N8" i="23"/>
  <c r="U8" i="23" s="1"/>
  <c r="AB8" i="23" s="1"/>
  <c r="AI8" i="23" s="1"/>
  <c r="L24" i="23"/>
  <c r="S24" i="23" s="1"/>
  <c r="Z24" i="23" s="1"/>
  <c r="AG24" i="23" s="1"/>
  <c r="L10" i="23"/>
  <c r="S10" i="23" s="1"/>
  <c r="Z10" i="23" s="1"/>
  <c r="AG10" i="23" s="1"/>
  <c r="L19" i="23"/>
  <c r="S19" i="23" s="1"/>
  <c r="Z19" i="23" s="1"/>
  <c r="AG19" i="23" s="1"/>
  <c r="L9" i="23"/>
  <c r="S9" i="23" s="1"/>
  <c r="Z9" i="23" s="1"/>
  <c r="AQ9" i="23" s="1"/>
  <c r="AX9" i="23" s="1"/>
  <c r="N16" i="23"/>
  <c r="U16" i="23" s="1"/>
  <c r="AB16" i="23" s="1"/>
  <c r="AI16" i="23" s="1"/>
  <c r="L16" i="23"/>
  <c r="S16" i="23" s="1"/>
  <c r="Z16" i="23" s="1"/>
  <c r="AG16" i="23" s="1"/>
  <c r="L27" i="23"/>
  <c r="S27" i="23" s="1"/>
  <c r="Z27" i="23" s="1"/>
  <c r="AQ27" i="23" s="1"/>
  <c r="AX27" i="23" s="1"/>
  <c r="L13" i="23"/>
  <c r="S13" i="23" s="1"/>
  <c r="Z13" i="23" s="1"/>
  <c r="AG13" i="23" s="1"/>
  <c r="N27" i="23"/>
  <c r="U27" i="23" s="1"/>
  <c r="AB27" i="23" s="1"/>
  <c r="AI27" i="23" s="1"/>
  <c r="N17" i="23"/>
  <c r="U17" i="23" s="1"/>
  <c r="AB17" i="23" s="1"/>
  <c r="AS17" i="23" s="1"/>
  <c r="AZ17" i="23" s="1"/>
  <c r="N9" i="23"/>
  <c r="U9" i="23" s="1"/>
  <c r="AB9" i="23" s="1"/>
  <c r="AS9" i="23" s="1"/>
  <c r="AZ9" i="23" s="1"/>
  <c r="N24" i="23"/>
  <c r="U24" i="23" s="1"/>
  <c r="AB24" i="23" s="1"/>
  <c r="AS24" i="23" s="1"/>
  <c r="AZ24" i="23" s="1"/>
  <c r="N18" i="23"/>
  <c r="U18" i="23" s="1"/>
  <c r="AB18" i="23" s="1"/>
  <c r="AI18" i="23" s="1"/>
  <c r="N14" i="23"/>
  <c r="U14" i="23" s="1"/>
  <c r="AB14" i="23" s="1"/>
  <c r="AI14" i="23" s="1"/>
  <c r="N10" i="23"/>
  <c r="U10" i="23" s="1"/>
  <c r="AB10" i="23" s="1"/>
  <c r="AI10" i="23" s="1"/>
  <c r="M10" i="23"/>
  <c r="T10" i="23" s="1"/>
  <c r="AA10" i="23" s="1"/>
  <c r="AR10" i="23" s="1"/>
  <c r="AY10" i="23" s="1"/>
  <c r="N21" i="23"/>
  <c r="U21" i="23" s="1"/>
  <c r="AB21" i="23" s="1"/>
  <c r="AI21" i="23" s="1"/>
  <c r="N13" i="23"/>
  <c r="U13" i="23" s="1"/>
  <c r="AB13" i="23" s="1"/>
  <c r="AI13" i="23" s="1"/>
  <c r="N25" i="23"/>
  <c r="U25" i="23" s="1"/>
  <c r="AB25" i="23" s="1"/>
  <c r="AI25" i="23" s="1"/>
  <c r="N19" i="23"/>
  <c r="U19" i="23" s="1"/>
  <c r="AB19" i="23" s="1"/>
  <c r="AI19" i="23" s="1"/>
  <c r="N15" i="23"/>
  <c r="U15" i="23" s="1"/>
  <c r="AB15" i="23" s="1"/>
  <c r="AI15" i="23" s="1"/>
  <c r="N11" i="23"/>
  <c r="U11" i="23" s="1"/>
  <c r="AB11" i="23" s="1"/>
  <c r="AI11" i="23" s="1"/>
  <c r="D22" i="24"/>
  <c r="O7" i="23" s="1"/>
  <c r="L20" i="23"/>
  <c r="S20" i="23" s="1"/>
  <c r="Z20" i="23" s="1"/>
  <c r="AQ20" i="23" s="1"/>
  <c r="AX20" i="23" s="1"/>
  <c r="L12" i="23"/>
  <c r="S12" i="23" s="1"/>
  <c r="Z12" i="23" s="1"/>
  <c r="AG12" i="23" s="1"/>
  <c r="L25" i="23"/>
  <c r="S25" i="23" s="1"/>
  <c r="Z25" i="23" s="1"/>
  <c r="AG25" i="23" s="1"/>
  <c r="L15" i="23"/>
  <c r="S15" i="23" s="1"/>
  <c r="Z15" i="23" s="1"/>
  <c r="AQ15" i="23" s="1"/>
  <c r="AX15" i="23" s="1"/>
  <c r="D7" i="26"/>
  <c r="AB7" i="23"/>
  <c r="AH26" i="23"/>
  <c r="AR26" i="23"/>
  <c r="AY26" i="23" s="1"/>
  <c r="P9" i="23"/>
  <c r="P15" i="23"/>
  <c r="P18" i="23"/>
  <c r="P21" i="23"/>
  <c r="P8" i="23"/>
  <c r="P12" i="23"/>
  <c r="P24" i="23"/>
  <c r="P14" i="23"/>
  <c r="P17" i="23"/>
  <c r="P16" i="23"/>
  <c r="P26" i="23"/>
  <c r="P11" i="23"/>
  <c r="P27" i="23"/>
  <c r="P10" i="23"/>
  <c r="P19" i="23"/>
  <c r="P25" i="23"/>
  <c r="P7" i="23"/>
  <c r="P20" i="23"/>
  <c r="P13" i="23"/>
  <c r="AQ26" i="23"/>
  <c r="AX26" i="23" s="1"/>
  <c r="AG26" i="23"/>
  <c r="C7" i="26"/>
  <c r="AQ21" i="23"/>
  <c r="AX21" i="23" s="1"/>
  <c r="F7" i="26"/>
  <c r="K47" i="25"/>
  <c r="Z7" i="23"/>
  <c r="N47" i="25" l="1"/>
  <c r="L47" i="25"/>
  <c r="M47" i="25"/>
  <c r="J47" i="25"/>
  <c r="J48" i="25"/>
  <c r="C6" i="26"/>
  <c r="AS11" i="23"/>
  <c r="AZ11" i="23" s="1"/>
  <c r="AG8" i="23"/>
  <c r="AR15" i="23"/>
  <c r="AY15" i="23" s="1"/>
  <c r="L48" i="25"/>
  <c r="AR12" i="23"/>
  <c r="AY12" i="23" s="1"/>
  <c r="AG18" i="23"/>
  <c r="AQ25" i="23"/>
  <c r="AX25" i="23" s="1"/>
  <c r="AH24" i="23"/>
  <c r="K48" i="25"/>
  <c r="AR18" i="23"/>
  <c r="AY18" i="23" s="1"/>
  <c r="AH19" i="23"/>
  <c r="AQ24" i="23"/>
  <c r="AX24" i="23" s="1"/>
  <c r="AH8" i="23"/>
  <c r="AS20" i="23"/>
  <c r="AZ20" i="23" s="1"/>
  <c r="AQ17" i="23"/>
  <c r="AX17" i="23" s="1"/>
  <c r="AS16" i="23"/>
  <c r="AZ16" i="23" s="1"/>
  <c r="AS18" i="23"/>
  <c r="AZ18" i="23" s="1"/>
  <c r="AQ10" i="23"/>
  <c r="AX10" i="23" s="1"/>
  <c r="AH13" i="23"/>
  <c r="AQ11" i="23"/>
  <c r="AX11" i="23" s="1"/>
  <c r="AQ16" i="23"/>
  <c r="AX16" i="23" s="1"/>
  <c r="AI12" i="23"/>
  <c r="AG14" i="23"/>
  <c r="AS14" i="23"/>
  <c r="AZ14" i="23" s="1"/>
  <c r="AS13" i="23"/>
  <c r="AZ13" i="23" s="1"/>
  <c r="AS21" i="23"/>
  <c r="AZ21" i="23" s="1"/>
  <c r="AR14" i="23"/>
  <c r="AY14" i="23" s="1"/>
  <c r="AR25" i="23"/>
  <c r="AY25" i="23" s="1"/>
  <c r="AH9" i="23"/>
  <c r="AH21" i="23"/>
  <c r="AR16" i="23"/>
  <c r="AY16" i="23" s="1"/>
  <c r="AG27" i="23"/>
  <c r="AS25" i="23"/>
  <c r="AZ25" i="23" s="1"/>
  <c r="AR11" i="23"/>
  <c r="AY11" i="23" s="1"/>
  <c r="AA48" i="23"/>
  <c r="AH27" i="23"/>
  <c r="T40" i="23"/>
  <c r="AG20" i="23"/>
  <c r="AH17" i="23"/>
  <c r="AH20" i="23"/>
  <c r="AQ13" i="23"/>
  <c r="AX13" i="23" s="1"/>
  <c r="AH10" i="23"/>
  <c r="AI9" i="23"/>
  <c r="AG9" i="23"/>
  <c r="O12" i="23"/>
  <c r="V12" i="23" s="1"/>
  <c r="AC12" i="23" s="1"/>
  <c r="O16" i="23"/>
  <c r="V16" i="23" s="1"/>
  <c r="AC16" i="23" s="1"/>
  <c r="AI24" i="23"/>
  <c r="AB48" i="23"/>
  <c r="AQ19" i="23"/>
  <c r="AX19" i="23" s="1"/>
  <c r="AS8" i="23"/>
  <c r="AZ8" i="23" s="1"/>
  <c r="AS26" i="23"/>
  <c r="AZ26" i="23" s="1"/>
  <c r="AS19" i="23"/>
  <c r="AZ19" i="23" s="1"/>
  <c r="O20" i="23"/>
  <c r="V20" i="23" s="1"/>
  <c r="AC20" i="23" s="1"/>
  <c r="AS10" i="23"/>
  <c r="AZ10" i="23" s="1"/>
  <c r="O26" i="23"/>
  <c r="V26" i="23" s="1"/>
  <c r="AC26" i="23" s="1"/>
  <c r="O8" i="23"/>
  <c r="V8" i="23" s="1"/>
  <c r="AC8" i="23" s="1"/>
  <c r="AQ12" i="23"/>
  <c r="AX12" i="23" s="1"/>
  <c r="AI17" i="23"/>
  <c r="AS27" i="23"/>
  <c r="AZ27" i="23" s="1"/>
  <c r="U40" i="23"/>
  <c r="AS15" i="23"/>
  <c r="AZ15" i="23" s="1"/>
  <c r="S40" i="23"/>
  <c r="Z48" i="23"/>
  <c r="O27" i="23"/>
  <c r="V27" i="23" s="1"/>
  <c r="AC27" i="23" s="1"/>
  <c r="O21" i="23"/>
  <c r="V21" i="23" s="1"/>
  <c r="AC21" i="23" s="1"/>
  <c r="O13" i="23"/>
  <c r="V13" i="23" s="1"/>
  <c r="AC13" i="23" s="1"/>
  <c r="O9" i="23"/>
  <c r="V9" i="23" s="1"/>
  <c r="AC9" i="23" s="1"/>
  <c r="AG15" i="23"/>
  <c r="O24" i="23"/>
  <c r="V24" i="23" s="1"/>
  <c r="AC24" i="23" s="1"/>
  <c r="O18" i="23"/>
  <c r="V18" i="23" s="1"/>
  <c r="AC18" i="23" s="1"/>
  <c r="O14" i="23"/>
  <c r="V14" i="23" s="1"/>
  <c r="AC14" i="23" s="1"/>
  <c r="O10" i="23"/>
  <c r="V10" i="23" s="1"/>
  <c r="AC10" i="23" s="1"/>
  <c r="O17" i="23"/>
  <c r="V17" i="23" s="1"/>
  <c r="H22" i="24"/>
  <c r="O25" i="23"/>
  <c r="V25" i="23" s="1"/>
  <c r="AC25" i="23" s="1"/>
  <c r="O19" i="23"/>
  <c r="V19" i="23" s="1"/>
  <c r="AC19" i="23" s="1"/>
  <c r="O15" i="23"/>
  <c r="V15" i="23" s="1"/>
  <c r="AC15" i="23" s="1"/>
  <c r="O11" i="23"/>
  <c r="V11" i="23" s="1"/>
  <c r="AC11" i="23" s="1"/>
  <c r="W13" i="23"/>
  <c r="W26" i="23"/>
  <c r="W18" i="23"/>
  <c r="AR7" i="23"/>
  <c r="AA41" i="23"/>
  <c r="AH7" i="23"/>
  <c r="AA47" i="23"/>
  <c r="W7" i="23"/>
  <c r="AD7" i="23" s="1"/>
  <c r="W27" i="23"/>
  <c r="W17" i="23"/>
  <c r="W8" i="23"/>
  <c r="AB41" i="23"/>
  <c r="AS7" i="23"/>
  <c r="AB47" i="23"/>
  <c r="AI7" i="23"/>
  <c r="V7" i="23"/>
  <c r="AC7" i="23" s="1"/>
  <c r="W19" i="23"/>
  <c r="W24" i="23"/>
  <c r="AQ7" i="23"/>
  <c r="AG7" i="23"/>
  <c r="Z47" i="23"/>
  <c r="Z41" i="23"/>
  <c r="W20" i="23"/>
  <c r="AD20" i="23" s="1"/>
  <c r="AU20" i="23" s="1"/>
  <c r="W10" i="23"/>
  <c r="W16" i="23"/>
  <c r="W12" i="23"/>
  <c r="W15" i="23"/>
  <c r="W25" i="23"/>
  <c r="W11" i="23"/>
  <c r="W14" i="23"/>
  <c r="W21" i="23"/>
  <c r="W9" i="23"/>
  <c r="B7" i="26" l="1"/>
  <c r="O48" i="25"/>
  <c r="B6" i="26"/>
  <c r="O47" i="25"/>
  <c r="AD12" i="23"/>
  <c r="AU12" i="23" s="1"/>
  <c r="AD24" i="23"/>
  <c r="AU24" i="23" s="1"/>
  <c r="AD11" i="23"/>
  <c r="AU11" i="23" s="1"/>
  <c r="AD16" i="23"/>
  <c r="AU16" i="23" s="1"/>
  <c r="AD27" i="23"/>
  <c r="AU27" i="23" s="1"/>
  <c r="AH41" i="23"/>
  <c r="AD26" i="23"/>
  <c r="AU26" i="23" s="1"/>
  <c r="AI41" i="23"/>
  <c r="AA49" i="23"/>
  <c r="E10" i="26" s="1"/>
  <c r="AD18" i="23"/>
  <c r="AU18" i="23" s="1"/>
  <c r="AB49" i="23"/>
  <c r="D10" i="26" s="1"/>
  <c r="AD8" i="23"/>
  <c r="AU8" i="23" s="1"/>
  <c r="AD21" i="23"/>
  <c r="AU21" i="23" s="1"/>
  <c r="AD10" i="23"/>
  <c r="AU10" i="23" s="1"/>
  <c r="AG41" i="23"/>
  <c r="AD19" i="23"/>
  <c r="AU19" i="23" s="1"/>
  <c r="AD13" i="23"/>
  <c r="AU13" i="23" s="1"/>
  <c r="AC17" i="23"/>
  <c r="AC48" i="23" s="1"/>
  <c r="AD17" i="23"/>
  <c r="AU17" i="23" s="1"/>
  <c r="AD14" i="23"/>
  <c r="AU14" i="23" s="1"/>
  <c r="AD15" i="23"/>
  <c r="AU15" i="23" s="1"/>
  <c r="AD25" i="23"/>
  <c r="AU25" i="23" s="1"/>
  <c r="Z49" i="23"/>
  <c r="F10" i="26" s="1"/>
  <c r="AD9" i="23"/>
  <c r="AU9" i="23" s="1"/>
  <c r="AA50" i="23"/>
  <c r="Z50" i="23"/>
  <c r="AB50" i="23"/>
  <c r="AT8" i="23"/>
  <c r="BA8" i="23" s="1"/>
  <c r="AJ8" i="23"/>
  <c r="AT18" i="23"/>
  <c r="BA18" i="23" s="1"/>
  <c r="AJ18" i="23"/>
  <c r="AT16" i="23"/>
  <c r="BA16" i="23" s="1"/>
  <c r="AJ16" i="23"/>
  <c r="AT11" i="23"/>
  <c r="BA11" i="23" s="1"/>
  <c r="AJ11" i="23"/>
  <c r="AT27" i="23"/>
  <c r="BA27" i="23" s="1"/>
  <c r="AJ27" i="23"/>
  <c r="AT26" i="23"/>
  <c r="BA26" i="23" s="1"/>
  <c r="AJ26" i="23"/>
  <c r="AT10" i="23"/>
  <c r="BA10" i="23" s="1"/>
  <c r="AJ10" i="23"/>
  <c r="AT20" i="23"/>
  <c r="BA20" i="23" s="1"/>
  <c r="AJ20" i="23"/>
  <c r="AT12" i="23"/>
  <c r="BA12" i="23" s="1"/>
  <c r="AJ12" i="23"/>
  <c r="AJ19" i="23"/>
  <c r="AT19" i="23"/>
  <c r="BA19" i="23" s="1"/>
  <c r="AU7" i="23"/>
  <c r="AT24" i="23"/>
  <c r="BA24" i="23" s="1"/>
  <c r="AJ24" i="23"/>
  <c r="AX7" i="23"/>
  <c r="AX41" i="23" s="1"/>
  <c r="AQ41" i="23"/>
  <c r="AT13" i="23"/>
  <c r="BA13" i="23" s="1"/>
  <c r="AJ13" i="23"/>
  <c r="AT7" i="23"/>
  <c r="AJ7" i="23"/>
  <c r="AC47" i="23"/>
  <c r="AT21" i="23"/>
  <c r="BA21" i="23" s="1"/>
  <c r="AJ21" i="23"/>
  <c r="AT9" i="23"/>
  <c r="BA9" i="23" s="1"/>
  <c r="AJ9" i="23"/>
  <c r="AJ14" i="23"/>
  <c r="AT14" i="23"/>
  <c r="BA14" i="23" s="1"/>
  <c r="AT15" i="23"/>
  <c r="BA15" i="23" s="1"/>
  <c r="AJ15" i="23"/>
  <c r="AT25" i="23"/>
  <c r="BA25" i="23" s="1"/>
  <c r="AJ25" i="23"/>
  <c r="AR41" i="23"/>
  <c r="AY7" i="23"/>
  <c r="AY41" i="23" s="1"/>
  <c r="AS41" i="23"/>
  <c r="AZ7" i="23"/>
  <c r="AZ41" i="23" s="1"/>
  <c r="V40" i="23"/>
  <c r="AT17" i="23" l="1"/>
  <c r="BA17" i="23" s="1"/>
  <c r="AC41" i="23"/>
  <c r="AD47" i="23"/>
  <c r="AJ17" i="23"/>
  <c r="AJ41" i="23" s="1"/>
  <c r="AD48" i="23"/>
  <c r="AD41" i="23"/>
  <c r="Z40" i="23" s="1"/>
  <c r="Z42" i="23" s="1"/>
  <c r="AC50" i="23"/>
  <c r="AU41" i="23"/>
  <c r="AC49" i="23"/>
  <c r="C10" i="26" s="1"/>
  <c r="BA7" i="23"/>
  <c r="BA41" i="23" l="1"/>
  <c r="AX40" i="23" s="1"/>
  <c r="BA42" i="23" s="1"/>
  <c r="AT41" i="23"/>
  <c r="AQ40" i="23" s="1"/>
  <c r="AT42" i="23" s="1"/>
  <c r="I49" i="25" s="1"/>
  <c r="AD49" i="23"/>
  <c r="B10" i="26" s="1"/>
  <c r="AD50" i="23"/>
  <c r="AC42" i="23"/>
  <c r="AB42" i="23"/>
  <c r="AD42" i="23"/>
  <c r="AA42" i="23"/>
  <c r="AG40" i="23"/>
  <c r="AJ42" i="23" s="1"/>
  <c r="AU42" i="23" l="1"/>
  <c r="J49" i="25" s="1"/>
  <c r="O49" i="25" s="1"/>
  <c r="O51" i="25" s="1"/>
  <c r="AR42" i="23"/>
  <c r="G49" i="25" s="1"/>
  <c r="AQ42" i="23"/>
  <c r="E49" i="25" s="1"/>
  <c r="AS42" i="23"/>
  <c r="H49" i="25" s="1"/>
  <c r="AY42" i="23"/>
  <c r="AZ42" i="23"/>
  <c r="AX42" i="23"/>
  <c r="N49" i="25"/>
  <c r="N51" i="25" s="1"/>
  <c r="C5" i="26"/>
  <c r="AH42" i="23"/>
  <c r="AG42" i="23"/>
  <c r="AI42" i="23"/>
  <c r="B5" i="26" l="1"/>
  <c r="M49" i="25"/>
  <c r="M51" i="25" s="1"/>
  <c r="D5" i="26"/>
  <c r="L49" i="25"/>
  <c r="L51" i="25" s="1"/>
  <c r="E5" i="26"/>
  <c r="F5" i="26"/>
  <c r="K49" i="25"/>
  <c r="K51" i="25" s="1"/>
  <c r="K52" i="25" l="1"/>
  <c r="F75" i="25" s="1"/>
  <c r="M52" i="25"/>
  <c r="O52" i="25"/>
  <c r="B8" i="26" s="1"/>
  <c r="L52" i="25"/>
  <c r="N52" i="25"/>
  <c r="F8" i="26" l="1"/>
  <c r="G75" i="25"/>
  <c r="M75" i="25" s="1"/>
  <c r="M77" i="25" s="1"/>
  <c r="E8" i="26"/>
  <c r="L75" i="25"/>
  <c r="L77" i="25" s="1"/>
  <c r="C8" i="26"/>
  <c r="I75" i="25"/>
  <c r="O75" i="25" s="1"/>
  <c r="O77" i="25" s="1"/>
  <c r="D8" i="26"/>
  <c r="H75" i="25"/>
  <c r="N75" i="25" s="1"/>
  <c r="N77" i="25" s="1"/>
  <c r="D75" i="25" l="1"/>
  <c r="R77" i="25"/>
  <c r="P81" i="25" s="1"/>
  <c r="G9" i="26" s="1"/>
  <c r="M81" i="25" l="1"/>
  <c r="E9" i="26" s="1"/>
  <c r="O81" i="25"/>
  <c r="C9" i="26" s="1"/>
  <c r="N81" i="25"/>
  <c r="D9" i="26" s="1"/>
  <c r="L81" i="25"/>
  <c r="F9" i="26" s="1"/>
  <c r="S81" i="25"/>
  <c r="R81" i="25" l="1"/>
  <c r="B9" i="26"/>
  <c r="D13" i="26" l="1"/>
  <c r="E6" i="27" s="1"/>
  <c r="E13" i="26"/>
  <c r="F6" i="27" s="1"/>
  <c r="B13" i="26"/>
  <c r="C6" i="27" s="1"/>
  <c r="C13" i="26"/>
  <c r="D6" i="27" s="1"/>
</calcChain>
</file>

<file path=xl/sharedStrings.xml><?xml version="1.0" encoding="utf-8"?>
<sst xmlns="http://schemas.openxmlformats.org/spreadsheetml/2006/main" count="4121" uniqueCount="1042">
  <si>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</si>
  <si>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</si>
  <si>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</si>
  <si>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</si>
  <si>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</si>
  <si>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</si>
  <si>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</si>
  <si>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</si>
  <si>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</si>
  <si>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</si>
  <si>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</si>
  <si>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</si>
  <si>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</si>
  <si>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</si>
  <si>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</si>
  <si>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</si>
  <si>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</si>
  <si>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</si>
  <si>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</si>
  <si>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</si>
  <si>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</si>
  <si>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</si>
  <si>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</si>
  <si>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</si>
  <si>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</si>
  <si>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</si>
  <si>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</si>
  <si>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</si>
  <si>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</si>
  <si>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</si>
  <si>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</si>
  <si>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</si>
  <si>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</si>
  <si>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</si>
  <si>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</si>
  <si>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</si>
  <si>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</si>
  <si>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</si>
  <si>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</si>
  <si>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</si>
  <si>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</si>
  <si>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</si>
  <si>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</si>
  <si>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</si>
  <si>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</si>
  <si>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</si>
  <si>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</si>
  <si>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</si>
  <si>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</si>
  <si>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</si>
  <si>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</si>
  <si>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</si>
  <si>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</si>
  <si>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</si>
  <si>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</si>
  <si>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</si>
  <si>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</si>
  <si>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</si>
  <si>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</si>
  <si>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</si>
  <si>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</si>
  <si>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</si>
  <si>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</si>
  <si>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</si>
  <si>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</si>
  <si>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</si>
  <si>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</si>
  <si>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</si>
  <si>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</si>
  <si>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</si>
  <si>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</si>
  <si>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</si>
  <si>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</si>
  <si>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</si>
  <si>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</si>
  <si>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</si>
  <si>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</si>
  <si>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</si>
  <si>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</si>
  <si>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</si>
  <si>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</si>
  <si>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</si>
  <si>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</si>
  <si>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</si>
  <si>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</si>
  <si>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</si>
  <si>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</si>
  <si>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</si>
  <si>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</si>
  <si>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</si>
  <si>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</si>
  <si>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</si>
  <si>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</si>
  <si>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</si>
  <si>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</si>
  <si>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</si>
  <si>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</si>
  <si>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</si>
  <si>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</si>
  <si>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</si>
  <si>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</si>
  <si>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</si>
  <si>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</si>
  <si>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</si>
  <si>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</si>
  <si>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</si>
  <si>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</si>
  <si>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</si>
  <si>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</si>
  <si>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</si>
  <si>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</si>
  <si>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</si>
  <si>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</si>
  <si>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</si>
  <si>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</si>
  <si>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</si>
  <si>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</si>
  <si>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</si>
  <si>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</si>
  <si>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</si>
  <si>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</si>
  <si>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</si>
  <si>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</si>
  <si>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</si>
  <si>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</si>
  <si>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</si>
  <si>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</si>
  <si>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</si>
  <si>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</si>
  <si>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</si>
  <si>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</si>
  <si>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</si>
  <si>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</si>
  <si>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</si>
  <si>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</si>
  <si>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</si>
  <si>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</si>
  <si>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</si>
  <si>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</si>
  <si>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</si>
  <si>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</si>
  <si>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</si>
  <si>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</si>
  <si>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</si>
  <si>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</si>
  <si>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</si>
  <si>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</si>
  <si>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</si>
  <si>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</si>
  <si>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</si>
  <si>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</si>
  <si>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</si>
  <si>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</si>
  <si>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</si>
  <si>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</si>
  <si>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</si>
  <si>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</si>
  <si>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</si>
  <si>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</si>
  <si>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</si>
  <si>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</si>
  <si>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</si>
  <si>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</si>
  <si>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</si>
  <si>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</si>
  <si>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</si>
  <si>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</si>
  <si>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</si>
  <si>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</si>
  <si>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</si>
  <si>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</si>
  <si>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</si>
  <si>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</si>
  <si>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</si>
  <si>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</si>
  <si>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</si>
  <si>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</si>
  <si>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</si>
  <si>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</si>
  <si>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</si>
  <si>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</si>
  <si>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</si>
  <si>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</si>
  <si>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</si>
  <si>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</si>
  <si>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</si>
  <si>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</si>
  <si>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</si>
  <si>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</si>
  <si>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</si>
  <si>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</si>
  <si>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</si>
  <si>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</si>
  <si>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</si>
  <si>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</si>
  <si>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</si>
  <si>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</si>
  <si>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</si>
  <si>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</si>
  <si>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</si>
  <si>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</si>
  <si>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</si>
  <si>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</si>
  <si>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</si>
  <si>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</si>
  <si>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</si>
  <si>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</si>
  <si>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</si>
  <si>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</si>
  <si>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</si>
  <si>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</si>
  <si>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</si>
  <si>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</si>
  <si>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</si>
  <si>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</si>
  <si>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</si>
  <si>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</si>
  <si>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</si>
  <si>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</si>
  <si>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</si>
  <si>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</si>
  <si>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</si>
  <si>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</si>
  <si>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</si>
  <si>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</si>
  <si>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</si>
  <si>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</si>
  <si>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</si>
  <si>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</si>
  <si>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</si>
  <si>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</si>
  <si>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</si>
  <si>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</si>
  <si>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</si>
  <si>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</si>
  <si>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</si>
  <si>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</si>
  <si>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</si>
  <si>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</si>
  <si>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</si>
  <si>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</si>
  <si>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</si>
  <si>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</si>
  <si>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</si>
  <si>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</si>
  <si>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</si>
  <si>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</si>
  <si>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</si>
  <si>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</si>
  <si>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</si>
  <si>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</si>
  <si>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</si>
  <si>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</si>
  <si>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</si>
  <si>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</si>
  <si>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</si>
  <si>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</si>
  <si>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</si>
  <si>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</si>
  <si>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</si>
  <si>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</si>
  <si>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</si>
  <si>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</si>
  <si>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</si>
  <si>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</si>
  <si>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</si>
  <si>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</si>
  <si>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</si>
  <si>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</si>
  <si>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</si>
  <si>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</si>
  <si>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</si>
  <si>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</si>
  <si>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</si>
  <si>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</si>
  <si>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</si>
  <si>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</si>
  <si>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</si>
  <si>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</si>
  <si>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</si>
  <si>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</si>
  <si>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</si>
  <si>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</si>
  <si>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</si>
  <si>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</si>
  <si>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</si>
  <si>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</si>
  <si>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</si>
  <si>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</si>
  <si>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</si>
  <si>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</si>
  <si>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</si>
  <si>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</si>
  <si>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</si>
  <si>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</si>
  <si>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</si>
  <si>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</si>
  <si>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</si>
  <si>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</si>
  <si>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</si>
  <si>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</si>
  <si>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</si>
  <si>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</si>
  <si>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</si>
  <si>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</si>
  <si>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</si>
  <si>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</si>
  <si>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</si>
  <si>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</si>
  <si>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</si>
  <si>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</si>
  <si>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</si>
  <si>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</si>
  <si>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</si>
  <si>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</si>
  <si>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</si>
  <si>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</si>
  <si>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</si>
  <si>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</si>
  <si>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</si>
  <si>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</si>
  <si>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</si>
  <si>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</si>
  <si>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</si>
  <si>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</si>
  <si>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</si>
  <si>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</si>
  <si>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</si>
  <si>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</si>
  <si>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</si>
  <si>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</si>
  <si>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</si>
  <si>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</si>
  <si>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</si>
  <si>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</si>
  <si>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</si>
  <si>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</si>
  <si>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</si>
  <si>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</si>
  <si>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</si>
  <si>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</si>
  <si>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</si>
  <si>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</si>
  <si>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</si>
  <si>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</si>
  <si>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</si>
  <si>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</si>
  <si>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</si>
  <si>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</si>
  <si>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</si>
  <si>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</si>
  <si>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</si>
  <si>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</si>
  <si>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</si>
  <si>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</si>
  <si>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</si>
  <si>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</si>
  <si>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</si>
  <si>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</si>
  <si>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</si>
  <si>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</si>
  <si>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</si>
  <si>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</si>
  <si>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</si>
  <si>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</si>
  <si>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</si>
  <si>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</si>
  <si>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</si>
  <si>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</si>
  <si>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</si>
  <si>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</si>
  <si>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</si>
  <si>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</si>
  <si>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</si>
  <si>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</si>
  <si>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</si>
  <si>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</si>
  <si>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</si>
  <si>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</si>
  <si>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</si>
  <si>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</si>
  <si>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</si>
  <si>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</si>
  <si>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</si>
  <si>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</si>
  <si>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</si>
  <si>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</si>
  <si>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</si>
  <si>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</si>
  <si>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</si>
  <si>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</si>
  <si>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</si>
  <si>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</si>
  <si>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</si>
  <si>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</si>
  <si>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</si>
  <si>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</si>
  <si>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</si>
  <si>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</si>
  <si>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</si>
  <si>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</si>
  <si>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</si>
  <si>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</si>
  <si>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</si>
  <si>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</si>
  <si>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</si>
  <si>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</si>
  <si>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</si>
  <si>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</si>
  <si>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</si>
  <si>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</si>
  <si>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</si>
  <si>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</si>
  <si>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</si>
  <si>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</si>
  <si>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</si>
  <si>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</si>
  <si>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</si>
  <si>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</si>
  <si>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</si>
  <si>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</si>
  <si>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</si>
  <si>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</si>
  <si>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</si>
  <si>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</si>
  <si>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</si>
  <si>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</si>
  <si>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</si>
  <si>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</si>
  <si>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</si>
  <si>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</si>
  <si>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</si>
  <si>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</si>
  <si>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</si>
  <si>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</si>
  <si>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</si>
  <si>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</si>
  <si>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</si>
  <si>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</si>
  <si>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</si>
  <si>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</si>
  <si>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</si>
  <si>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</si>
  <si>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</si>
  <si>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</si>
  <si>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</si>
  <si>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</si>
  <si>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</si>
  <si>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</si>
  <si>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</si>
  <si>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</si>
  <si>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</si>
  <si>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</si>
  <si>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</si>
  <si>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</si>
  <si>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</si>
  <si>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</si>
  <si>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</si>
  <si>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</si>
  <si>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</si>
  <si>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</si>
  <si>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</si>
  <si>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</si>
  <si>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</si>
  <si>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</si>
  <si>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</si>
  <si>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</si>
  <si>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</si>
  <si>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</si>
  <si>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</si>
  <si>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</si>
  <si>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</si>
  <si>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</si>
  <si>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</si>
  <si>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</si>
  <si>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</si>
  <si>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</si>
  <si>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</si>
  <si>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</si>
  <si>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</si>
  <si>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</si>
  <si>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</si>
  <si>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</si>
  <si>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</si>
  <si>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</si>
  <si>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</si>
  <si>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</si>
  <si>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</si>
  <si>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</si>
  <si>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</si>
  <si>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</si>
  <si>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</si>
  <si>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</si>
  <si>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</si>
  <si>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</si>
  <si>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</si>
  <si>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</si>
  <si>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</si>
  <si>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</si>
  <si>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</si>
  <si>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</si>
  <si>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</si>
  <si>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</si>
  <si>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</si>
  <si>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</si>
  <si>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</si>
  <si>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</si>
  <si>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</si>
  <si>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</si>
  <si>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</si>
  <si>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</si>
  <si>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</si>
  <si>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</si>
  <si>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</si>
  <si>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</si>
  <si>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</si>
  <si>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</si>
  <si>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</si>
  <si>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</si>
  <si>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</si>
  <si>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</si>
  <si>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</si>
  <si>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</si>
  <si>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</si>
  <si>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</si>
  <si>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</si>
  <si>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</si>
  <si>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</si>
  <si>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</si>
  <si>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</si>
  <si>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</si>
  <si>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</si>
  <si>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</si>
  <si>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</si>
  <si>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</si>
  <si>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</si>
  <si>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</si>
  <si>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</si>
  <si>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</si>
  <si>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</si>
  <si>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</si>
  <si>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</si>
  <si>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</si>
  <si>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</si>
  <si>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</si>
  <si>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</si>
  <si>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</si>
  <si>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</si>
  <si>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</si>
  <si>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</si>
  <si>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</si>
  <si>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</si>
  <si>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</si>
  <si>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</si>
  <si>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</si>
  <si>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</si>
  <si>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</si>
  <si>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</si>
  <si>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</si>
  <si>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</si>
  <si>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</si>
  <si>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</si>
  <si>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</si>
  <si>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</si>
  <si>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</si>
  <si>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</si>
  <si>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</si>
  <si>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</si>
  <si>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</si>
  <si>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</si>
  <si>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</si>
  <si>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</si>
  <si>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</si>
  <si>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</si>
  <si>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</si>
  <si>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</si>
  <si>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</si>
  <si>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</si>
  <si>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</si>
  <si>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</si>
  <si>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</si>
  <si>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</si>
  <si>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</si>
  <si>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</si>
  <si>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</si>
  <si>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</si>
  <si>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</si>
  <si>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</si>
  <si>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</si>
  <si>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</si>
  <si>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</si>
  <si>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</si>
  <si>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</si>
  <si>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</si>
  <si>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</si>
  <si>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</si>
  <si>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</si>
  <si>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</si>
  <si>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</si>
  <si>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</si>
  <si>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</si>
  <si>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</si>
  <si>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</si>
  <si>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</si>
  <si>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</si>
  <si>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</si>
  <si>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</si>
  <si>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</si>
  <si>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</si>
  <si>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</si>
  <si>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</si>
  <si>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</si>
  <si>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</si>
  <si>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</si>
  <si>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</si>
  <si>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</si>
  <si>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</si>
  <si>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</si>
  <si>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</si>
  <si>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</si>
  <si>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</si>
  <si>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</si>
  <si>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</si>
  <si>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</si>
  <si>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</si>
  <si>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</si>
  <si>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</si>
  <si>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</si>
  <si>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</si>
  <si>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</si>
  <si>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</si>
  <si>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</si>
  <si>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</si>
  <si>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</si>
  <si>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</si>
  <si>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</si>
  <si>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</si>
  <si>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</si>
  <si>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</si>
  <si>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</si>
  <si>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</si>
  <si>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</si>
  <si>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</si>
  <si>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</si>
  <si>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</si>
  <si>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</si>
  <si>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</si>
  <si>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</si>
  <si>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</si>
  <si>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</si>
  <si>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</si>
  <si>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</si>
  <si>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</si>
  <si>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</si>
  <si>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</si>
  <si>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</si>
  <si>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</si>
  <si>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</si>
  <si>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</si>
  <si>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</si>
  <si>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</si>
  <si>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</si>
  <si>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</si>
  <si>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</si>
  <si>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</si>
  <si>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</si>
  <si>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</si>
  <si>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</si>
  <si>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</si>
  <si>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</si>
  <si>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</si>
  <si>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</si>
  <si>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</si>
  <si>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</si>
  <si>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</si>
  <si>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</si>
  <si>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</si>
  <si>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</si>
  <si>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</si>
  <si>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</si>
  <si>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</si>
  <si>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</si>
  <si>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</si>
  <si>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</si>
  <si>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</si>
  <si>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</si>
  <si>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</si>
  <si>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</si>
  <si>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</si>
  <si>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</si>
  <si>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</si>
  <si>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</si>
  <si>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</si>
  <si>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</si>
  <si>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</si>
  <si>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</si>
  <si>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</si>
  <si>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</si>
  <si>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</si>
  <si>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</si>
  <si>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</si>
  <si>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</si>
  <si>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</si>
  <si>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</si>
  <si>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</si>
  <si>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</si>
  <si>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</si>
  <si>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</si>
  <si>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</si>
  <si>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</si>
  <si>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</si>
  <si>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</si>
  <si>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</si>
  <si>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</si>
  <si>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</si>
  <si>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</si>
  <si>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</si>
  <si>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</si>
  <si>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</si>
  <si>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</si>
  <si>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</si>
  <si>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</si>
  <si>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</si>
  <si>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</si>
  <si>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</si>
  <si>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</si>
  <si>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</si>
  <si>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</si>
  <si>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</si>
  <si>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</si>
  <si>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</si>
  <si>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</si>
  <si>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</si>
  <si>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</si>
  <si>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</si>
  <si>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</si>
  <si>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</si>
  <si>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</si>
  <si>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</si>
  <si>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</si>
  <si>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</si>
  <si>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</si>
  <si>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</si>
  <si>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</si>
  <si>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</si>
  <si>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</si>
  <si>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</si>
  <si>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</si>
  <si>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</si>
  <si>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</si>
  <si>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</si>
  <si>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</si>
  <si>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</si>
  <si>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</si>
  <si>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</si>
  <si>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</si>
  <si>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</si>
  <si>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</si>
  <si>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</si>
  <si>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</si>
  <si>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</si>
  <si>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</si>
  <si>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</si>
  <si>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</si>
  <si>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</si>
  <si>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</si>
  <si>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</si>
  <si>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</si>
  <si>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</si>
  <si>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</si>
  <si>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</si>
  <si>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</si>
  <si>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</si>
  <si>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</si>
  <si>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</si>
  <si>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</si>
  <si>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</si>
  <si>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</si>
  <si>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</si>
  <si>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</si>
  <si>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</si>
  <si>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</si>
  <si>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</si>
  <si>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</si>
  <si>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</si>
  <si>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</si>
  <si>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</si>
  <si>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</si>
  <si>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</si>
  <si>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</si>
  <si>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</si>
  <si>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</si>
  <si>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</si>
  <si>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</si>
  <si>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</si>
  <si>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</si>
  <si>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</si>
  <si>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</si>
  <si>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</si>
  <si>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</si>
  <si>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</si>
  <si>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</si>
  <si>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</si>
  <si>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</si>
  <si>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</si>
  <si>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</si>
  <si>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</si>
  <si>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</si>
  <si>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</si>
  <si>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</si>
  <si>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</si>
  <si>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</si>
  <si>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</si>
  <si>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</si>
  <si>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</si>
  <si>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</si>
  <si>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</si>
  <si>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</si>
  <si>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</si>
  <si>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</si>
  <si>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</si>
  <si>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</si>
  <si>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</si>
  <si>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</si>
  <si>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</si>
  <si>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</si>
  <si>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</si>
  <si>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</si>
  <si>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</si>
  <si>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</si>
  <si>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</si>
  <si>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</si>
  <si>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</si>
  <si>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</si>
  <si>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</si>
  <si>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</si>
  <si>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</si>
  <si>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</si>
  <si>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</si>
  <si>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</si>
  <si>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</si>
  <si>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</si>
  <si>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</si>
  <si>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</si>
  <si>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</si>
  <si>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</si>
  <si>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</si>
  <si>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</si>
  <si>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</si>
  <si>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</si>
  <si>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</si>
  <si>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</si>
  <si>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</si>
  <si>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</si>
  <si>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</si>
  <si>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</si>
  <si>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</si>
  <si>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</si>
  <si>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</si>
  <si>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</si>
  <si>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</si>
  <si>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</si>
  <si>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</si>
  <si>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</si>
  <si>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</si>
  <si>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</si>
  <si>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</si>
  <si>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</si>
  <si>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</si>
  <si>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</si>
  <si>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</si>
  <si>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</si>
  <si>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</si>
  <si>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</si>
  <si>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</si>
  <si>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</si>
  <si>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</si>
  <si>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</si>
  <si>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</si>
  <si>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</si>
  <si>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</si>
  <si>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</si>
  <si>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</si>
  <si>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</si>
  <si>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</si>
  <si>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</si>
  <si>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</si>
  <si>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</si>
  <si>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</si>
  <si>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</si>
  <si>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</si>
  <si>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</si>
  <si>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</si>
  <si>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</si>
  <si>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</si>
  <si>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</si>
  <si>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</si>
  <si>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</si>
  <si>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</si>
  <si>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</si>
  <si>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</si>
  <si>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</si>
  <si>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</si>
  <si>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</si>
  <si>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</si>
  <si>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</si>
  <si>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</si>
  <si>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</si>
  <si>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</si>
  <si>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</si>
  <si>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</si>
  <si>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</si>
  <si>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</si>
  <si>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</si>
  <si>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</si>
  <si>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</si>
  <si>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</si>
  <si>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</si>
  <si>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</si>
  <si>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</si>
  <si>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</si>
  <si>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</si>
  <si>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</si>
  <si>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</si>
  <si>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</si>
  <si>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</si>
  <si>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</si>
  <si>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</si>
  <si>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</si>
  <si>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</si>
  <si>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</si>
  <si>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</si>
  <si>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</si>
  <si>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</si>
  <si>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</si>
  <si>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</si>
  <si>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</si>
  <si>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</si>
  <si>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</si>
  <si>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</si>
  <si>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</si>
  <si>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</si>
  <si>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</si>
  <si>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</si>
  <si>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</si>
  <si>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</si>
  <si>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</si>
  <si>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</si>
  <si>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</si>
  <si>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</si>
  <si>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</si>
  <si>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</si>
  <si>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</si>
  <si>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</si>
  <si>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</si>
  <si>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</si>
  <si>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</si>
  <si>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</si>
  <si>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</si>
  <si>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</si>
  <si>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</si>
  <si>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</si>
  <si>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</si>
  <si>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</si>
  <si>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</si>
  <si>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</si>
  <si>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</si>
  <si>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</si>
  <si>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</si>
  <si>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</si>
  <si>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</si>
  <si>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</si>
  <si>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</si>
  <si>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</si>
  <si>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</si>
  <si>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</si>
  <si>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</si>
  <si>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</si>
  <si>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</si>
  <si>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</si>
  <si>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</si>
  <si>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</si>
  <si>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</si>
  <si>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</si>
  <si>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</si>
  <si>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</si>
  <si>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</si>
  <si>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</si>
  <si>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</si>
  <si>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</si>
  <si>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</si>
  <si>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</si>
  <si>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</si>
  <si>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</si>
  <si>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</si>
  <si>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</si>
  <si>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</si>
  <si>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t>The relevant Ofgem document was at http://www.ofgem.gov.uk/Markets/RetMkts/Metrng/Metering/Documents1/9745-5405.pdf</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</si>
  <si>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</si>
  <si>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</si>
  <si>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</si>
  <si>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</si>
  <si>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</si>
  <si>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</si>
  <si>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</si>
  <si>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</si>
  <si>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</si>
  <si>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</si>
  <si>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</si>
  <si>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</si>
  <si>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</si>
  <si>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</si>
  <si>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</si>
  <si>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</si>
  <si>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</si>
  <si>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</si>
  <si>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</si>
  <si>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</si>
  <si>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</si>
  <si>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Electricity North West</t>
  </si>
  <si>
    <t>2016/17</t>
  </si>
  <si>
    <t>-</t>
  </si>
  <si>
    <t>0</t>
  </si>
  <si>
    <t>132</t>
  </si>
  <si>
    <t>11</t>
  </si>
  <si>
    <t>c</t>
  </si>
  <si>
    <t>2014</t>
  </si>
  <si>
    <t>Winter</t>
  </si>
  <si>
    <t>N</t>
  </si>
  <si>
    <t>33</t>
  </si>
  <si>
    <t>a</t>
  </si>
  <si>
    <t>Current</t>
  </si>
  <si>
    <t>b</t>
  </si>
  <si>
    <t>f</t>
  </si>
  <si>
    <t>2015</t>
  </si>
  <si>
    <t>6.6</t>
  </si>
  <si>
    <t>Summer</t>
  </si>
  <si>
    <t>ENW</t>
  </si>
  <si>
    <t>UUES</t>
  </si>
  <si>
    <t/>
  </si>
  <si>
    <t>Suggest these values are set to 0 for those using LR1</t>
  </si>
  <si>
    <t>MEAV Calculation = Replacement unit cost*FBPQ closing asset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</si>
</sst>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 numFmtId="177" formatCode="_-* #,##0.0_-;\-* #,##0.0_-;_-* &quot;-&quot;??_-;_-@_-"/>
    <numFmt numFmtId="178" formatCode="0.000%"/>
    <numFmt numFmtId="179" formatCode="#,##0.000;[Red]\-#,##0.000;"/>
    <numFmt numFmtId="180" formatCode="#,##0.000;[Red]\-#,##0.000;\-"/>
    <numFmt numFmtId="181" formatCode="#,##0;[Red]\-#,##0;\-"/>
    <numFmt numFmtId="182" formatCode="_(* #,##0_);_(* \(#,##0\);_(* &quot;-&quot;??_);_(@_)"/>
    <numFmt numFmtId="183" formatCode="0.0000"/>
    <numFmt numFmtId="184" formatCode="0.00000%"/>
    <numFmt numFmtId="185" formatCode="_-* #,##0.000_-;\-* #,##0.000_-;_-* &quot;-&quot;??_-;_-@_-"/>
  </numFmts>
  <fonts count="85">
    <font>
      <sz val="10"/>
      <name val="Arial"/>
    </font>
    <font>
      <sz val="10"/>
      <color theme="1"/>
      <name val="Arial"/>
      <family val="2"/>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sz val="10"/>
      <name val="Calibri"/>
      <family val="2"/>
    </font>
    <font>
      <b/>
      <sz val="10"/>
      <name val="Arial"/>
      <family val="2"/>
    </font>
    <font>
      <sz val="11"/>
      <name val="CG Omega"/>
      <family val="2"/>
    </font>
    <font>
      <sz val="10"/>
      <name val="CG Omega"/>
      <family val="2"/>
    </font>
    <font>
      <b/>
      <sz val="10"/>
      <name val="CG Omega"/>
      <family val="2"/>
    </font>
    <font>
      <sz val="10"/>
      <color indexed="12"/>
      <name val="CG Omega"/>
      <family val="2"/>
    </font>
    <font>
      <sz val="10"/>
      <color indexed="12"/>
      <name val="Arial"/>
      <family val="2"/>
    </font>
    <font>
      <b/>
      <sz val="10"/>
      <color indexed="8"/>
      <name val="Verdana"/>
      <family val="2"/>
    </font>
    <font>
      <sz val="10"/>
      <color indexed="8"/>
      <name val="Arial"/>
      <family val="2"/>
    </font>
    <font>
      <b/>
      <sz val="10"/>
      <color indexed="8"/>
      <name val="Arial"/>
      <family val="2"/>
    </font>
    <font>
      <sz val="11"/>
      <color indexed="8"/>
      <name val="CG Omega"/>
      <family val="2"/>
    </font>
    <font>
      <sz val="11"/>
      <color indexed="12"/>
      <name val="CG Omega"/>
      <family val="2"/>
    </font>
    <font>
      <sz val="10"/>
      <color indexed="8"/>
      <name val="Verdana"/>
      <family val="2"/>
    </font>
    <font>
      <b/>
      <sz val="11"/>
      <name val="CG Omega"/>
      <family val="2"/>
    </font>
    <font>
      <sz val="11"/>
      <color indexed="30"/>
      <name val="CG Omega"/>
      <family val="2"/>
    </font>
    <font>
      <sz val="10"/>
      <color indexed="30"/>
      <name val="CG Omega"/>
      <family val="2"/>
    </font>
    <font>
      <sz val="10"/>
      <color indexed="10"/>
      <name val="CG Omega"/>
      <family val="2"/>
    </font>
    <font>
      <sz val="8"/>
      <name val="Verdana"/>
      <family val="2"/>
    </font>
    <font>
      <sz val="10"/>
      <color theme="1"/>
      <name val="Times New Roman"/>
      <family val="1"/>
    </font>
    <font>
      <b/>
      <sz val="10"/>
      <color theme="1"/>
      <name val="Arial"/>
      <family val="2"/>
    </font>
    <font>
      <sz val="11"/>
      <color theme="1"/>
      <name val="Arial"/>
      <family val="2"/>
    </font>
    <font>
      <b/>
      <sz val="11"/>
      <color theme="1"/>
      <name val="Arial"/>
      <family val="2"/>
    </font>
    <font>
      <u/>
      <sz val="9"/>
      <color theme="10"/>
      <name val="Arial"/>
      <family val="2"/>
    </font>
    <font>
      <b/>
      <u/>
      <sz val="10"/>
      <name val="Arial"/>
      <family val="2"/>
    </font>
    <font>
      <u/>
      <sz val="10"/>
      <color indexed="12"/>
      <name val="Arial"/>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6"/>
      <color indexed="8"/>
      <name val="Arial"/>
      <family val="2"/>
    </font>
    <font>
      <sz val="10"/>
      <color indexed="56"/>
      <name val="Arial"/>
      <family val="2"/>
    </font>
    <font>
      <b/>
      <sz val="20"/>
      <name val="Arial"/>
      <family val="2"/>
    </font>
    <font>
      <sz val="9"/>
      <name val="Arial"/>
      <family val="2"/>
    </font>
    <font>
      <sz val="9"/>
      <name val="CG Omega"/>
      <family val="2"/>
    </font>
    <font>
      <b/>
      <sz val="9"/>
      <name val="CG Omega"/>
      <family val="2"/>
    </font>
    <font>
      <b/>
      <sz val="12"/>
      <name val="CG Omega"/>
      <family val="2"/>
    </font>
    <font>
      <sz val="11"/>
      <color indexed="10"/>
      <name val="CG Omega"/>
      <family val="2"/>
    </font>
    <font>
      <b/>
      <sz val="11"/>
      <name val="CG Omega"/>
    </font>
    <font>
      <b/>
      <sz val="11"/>
      <color indexed="12"/>
      <name val="CG Omega"/>
      <family val="2"/>
    </font>
    <font>
      <sz val="10"/>
      <color indexed="8"/>
      <name val="CG Omega"/>
      <family val="2"/>
    </font>
    <font>
      <b/>
      <sz val="11"/>
      <name val="Arial"/>
      <family val="2"/>
    </font>
    <font>
      <b/>
      <sz val="10"/>
      <name val="Verdana"/>
      <family val="2"/>
    </font>
    <font>
      <sz val="8"/>
      <name val="CG Omega"/>
    </font>
    <font>
      <i/>
      <sz val="10"/>
      <name val="Arial"/>
      <family val="2"/>
    </font>
    <font>
      <b/>
      <sz val="12"/>
      <name val="Arial"/>
      <family val="2"/>
    </font>
    <font>
      <b/>
      <sz val="12"/>
      <color indexed="40"/>
      <name val="Arial"/>
      <family val="2"/>
    </font>
    <font>
      <u/>
      <sz val="11"/>
      <color indexed="40"/>
      <name val="Arial"/>
      <family val="2"/>
    </font>
    <font>
      <b/>
      <sz val="13"/>
      <name val="Calibri"/>
      <family val="2"/>
    </font>
    <font>
      <sz val="10"/>
      <color indexed="10"/>
      <name val="Arial"/>
      <family val="2"/>
    </font>
    <font>
      <sz val="14"/>
      <name val="Arial"/>
      <family val="2"/>
    </font>
    <font>
      <b/>
      <sz val="10"/>
      <color rgb="FFFF0000"/>
      <name val="Arial"/>
      <family val="2"/>
    </font>
    <font>
      <sz val="10"/>
      <color indexed="9"/>
      <name val="Arial"/>
      <family val="2"/>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2"/>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13"/>
        <bgColor indexed="64"/>
      </patternFill>
    </fill>
    <fill>
      <patternFill patternType="solid">
        <fgColor indexed="6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double">
        <color auto="1"/>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3">
    <xf numFmtId="0" fontId="0" fillId="0" borderId="0"/>
    <xf numFmtId="9"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3"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1" fillId="0" borderId="0"/>
    <xf numFmtId="0" fontId="3" fillId="0" borderId="0"/>
    <xf numFmtId="0" fontId="31" fillId="0" borderId="0"/>
    <xf numFmtId="9" fontId="3" fillId="0" borderId="0" applyFont="0" applyFill="0" applyBorder="0" applyAlignment="0" applyProtection="0"/>
    <xf numFmtId="0" fontId="3" fillId="0" borderId="0"/>
    <xf numFmtId="9" fontId="41" fillId="0" borderId="0" applyFont="0" applyFill="0" applyBorder="0" applyAlignment="0" applyProtection="0"/>
    <xf numFmtId="0" fontId="27" fillId="0" borderId="0"/>
    <xf numFmtId="0" fontId="31" fillId="0" borderId="0"/>
    <xf numFmtId="0" fontId="51" fillId="0" borderId="0" applyNumberFormat="0" applyFill="0" applyBorder="0" applyAlignment="0" applyProtection="0">
      <alignment vertical="top"/>
      <protection locked="0"/>
    </xf>
    <xf numFmtId="0" fontId="31" fillId="0" borderId="0">
      <alignment vertical="top"/>
    </xf>
    <xf numFmtId="0" fontId="41" fillId="0" borderId="0"/>
    <xf numFmtId="0" fontId="3" fillId="0" borderId="0"/>
    <xf numFmtId="0" fontId="3" fillId="0" borderId="0"/>
    <xf numFmtId="0" fontId="59" fillId="0" borderId="0"/>
    <xf numFmtId="9" fontId="31" fillId="0" borderId="0" applyFont="0" applyFill="0" applyBorder="0" applyAlignment="0" applyProtection="0"/>
    <xf numFmtId="0" fontId="31" fillId="0" borderId="0"/>
    <xf numFmtId="0" fontId="31" fillId="0" borderId="0"/>
    <xf numFmtId="0" fontId="41" fillId="0" borderId="0"/>
    <xf numFmtId="0" fontId="3" fillId="0" borderId="0"/>
    <xf numFmtId="0" fontId="3" fillId="0" borderId="0"/>
    <xf numFmtId="0" fontId="3" fillId="0" borderId="0"/>
    <xf numFmtId="0" fontId="3" fillId="0" borderId="0"/>
  </cellStyleXfs>
  <cellXfs count="2246">
    <xf numFmtId="0" fontId="0" fillId="0" borderId="0" xfId="0"/>
    <xf numFmtId="0" fontId="21" fillId="0" borderId="0" xfId="0" applyFont="1" applyAlignment="1"/>
    <xf numFmtId="0" fontId="22" fillId="0" borderId="0" xfId="0" applyFont="1" applyAlignment="1"/>
    <xf numFmtId="0" fontId="22" fillId="0" borderId="0" xfId="0" quotePrefix="1" applyFont="1" applyAlignment="1"/>
    <xf numFmtId="2" fontId="25" fillId="0" borderId="0" xfId="0" applyNumberFormat="1" applyFont="1" applyAlignment="1">
      <alignment horizontal="left"/>
    </xf>
    <xf numFmtId="49" fontId="21" fillId="0" borderId="0" xfId="0" applyNumberFormat="1" applyFont="1" applyAlignment="1">
      <alignment horizontal="left"/>
    </xf>
    <xf numFmtId="10" fontId="22" fillId="12" borderId="0" xfId="1" applyNumberFormat="1" applyFont="1" applyFill="1" applyAlignment="1" applyProtection="1">
      <alignment horizontal="center"/>
      <protection locked="0"/>
    </xf>
    <xf numFmtId="165" fontId="22" fillId="12" borderId="0" xfId="0" quotePrefix="1" applyNumberFormat="1" applyFont="1" applyFill="1" applyAlignment="1" applyProtection="1">
      <alignment horizontal="center"/>
      <protection locked="0"/>
    </xf>
    <xf numFmtId="165" fontId="22" fillId="12" borderId="0" xfId="0" applyNumberFormat="1" applyFont="1" applyFill="1" applyAlignment="1" applyProtection="1">
      <alignment horizontal="center"/>
      <protection locked="0"/>
    </xf>
    <xf numFmtId="0" fontId="22" fillId="11" borderId="0" xfId="2" applyNumberFormat="1" applyFont="1" applyFill="1" applyAlignment="1" applyProtection="1">
      <alignment horizontal="center" vertical="center"/>
      <protection locked="0"/>
    </xf>
    <xf numFmtId="166" fontId="22" fillId="11" borderId="0" xfId="2" applyNumberFormat="1" applyFont="1" applyFill="1" applyAlignment="1" applyProtection="1">
      <alignment horizontal="center" vertical="center"/>
      <protection locked="0"/>
    </xf>
    <xf numFmtId="0" fontId="21" fillId="0" borderId="0" xfId="0" applyFont="1" applyAlignment="1">
      <alignment vertical="center"/>
    </xf>
    <xf numFmtId="167" fontId="22" fillId="11" borderId="0" xfId="0" applyNumberFormat="1" applyFont="1" applyFill="1" applyAlignment="1" applyProtection="1">
      <alignment horizontal="center" vertical="center"/>
      <protection locked="0"/>
    </xf>
    <xf numFmtId="0" fontId="21" fillId="9" borderId="0" xfId="0" applyFont="1" applyFill="1" applyAlignment="1">
      <alignment horizontal="left" vertical="center"/>
    </xf>
    <xf numFmtId="164" fontId="22" fillId="0" borderId="0" xfId="1" applyNumberFormat="1" applyFont="1" applyAlignment="1"/>
    <xf numFmtId="17" fontId="22" fillId="0" borderId="0" xfId="0" quotePrefix="1" applyNumberFormat="1" applyFont="1" applyAlignment="1"/>
    <xf numFmtId="0" fontId="21" fillId="9" borderId="0" xfId="0" applyFont="1" applyFill="1" applyAlignment="1">
      <alignment horizontal="center" vertical="center"/>
    </xf>
    <xf numFmtId="49" fontId="26" fillId="13" borderId="0" xfId="0" applyNumberFormat="1" applyFont="1" applyFill="1" applyAlignment="1">
      <alignment horizontal="center" vertical="center"/>
    </xf>
    <xf numFmtId="49" fontId="26" fillId="13" borderId="0" xfId="0" applyNumberFormat="1" applyFont="1" applyFill="1" applyAlignment="1">
      <alignment horizontal="left" vertical="center"/>
    </xf>
    <xf numFmtId="0" fontId="0" fillId="14" borderId="0" xfId="0" applyFill="1" applyBorder="1"/>
    <xf numFmtId="0" fontId="27" fillId="0" borderId="0" xfId="0" applyFont="1" applyAlignment="1"/>
    <xf numFmtId="168" fontId="27" fillId="10" borderId="0" xfId="0" applyNumberFormat="1" applyFont="1" applyFill="1" applyAlignment="1" applyProtection="1">
      <alignment horizontal="center" vertical="center"/>
      <protection locked="0"/>
    </xf>
    <xf numFmtId="0" fontId="27" fillId="0" borderId="0" xfId="0" applyFont="1" applyAlignment="1" applyProtection="1">
      <protection locked="0"/>
    </xf>
    <xf numFmtId="169" fontId="22" fillId="15" borderId="0" xfId="0" applyNumberFormat="1" applyFont="1" applyFill="1" applyAlignment="1">
      <alignment horizontal="center" vertical="center"/>
    </xf>
    <xf numFmtId="164" fontId="21" fillId="0" borderId="0" xfId="1" applyNumberFormat="1" applyFont="1" applyAlignment="1"/>
    <xf numFmtId="49" fontId="26" fillId="13" borderId="0" xfId="0" applyNumberFormat="1" applyFont="1" applyFill="1" applyAlignment="1">
      <alignment horizontal="center" vertical="center" wrapText="1"/>
    </xf>
    <xf numFmtId="0" fontId="22" fillId="0" borderId="0" xfId="0" applyFont="1"/>
    <xf numFmtId="0" fontId="21" fillId="16" borderId="0" xfId="0" applyFont="1" applyFill="1" applyAlignment="1">
      <alignment horizontal="left" vertical="center"/>
    </xf>
    <xf numFmtId="49" fontId="29" fillId="10" borderId="0" xfId="0" applyNumberFormat="1" applyFont="1" applyFill="1" applyAlignment="1" applyProtection="1">
      <alignment horizontal="left" vertical="center" wrapText="1"/>
      <protection locked="0"/>
    </xf>
    <xf numFmtId="164" fontId="22" fillId="11" borderId="0" xfId="1" applyNumberFormat="1" applyFont="1" applyFill="1" applyAlignment="1" applyProtection="1">
      <alignment horizontal="center" vertical="center" wrapText="1"/>
      <protection locked="0"/>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30" fillId="17" borderId="0" xfId="0" applyFont="1" applyFill="1"/>
    <xf numFmtId="170" fontId="30" fillId="17" borderId="0" xfId="0" applyNumberFormat="1" applyFont="1" applyFill="1"/>
    <xf numFmtId="171" fontId="0" fillId="17" borderId="0" xfId="0" applyNumberFormat="1" applyFill="1"/>
    <xf numFmtId="1" fontId="32" fillId="0" borderId="21" xfId="61" applyNumberFormat="1" applyFont="1" applyFill="1" applyBorder="1" applyAlignment="1" applyProtection="1">
      <alignment horizontal="center"/>
    </xf>
    <xf numFmtId="1" fontId="32" fillId="0" borderId="22" xfId="61" applyNumberFormat="1" applyFont="1" applyFill="1" applyBorder="1" applyAlignment="1" applyProtection="1">
      <alignment horizontal="center"/>
    </xf>
    <xf numFmtId="1" fontId="32" fillId="0" borderId="23" xfId="61" applyNumberFormat="1" applyFont="1" applyFill="1" applyBorder="1" applyAlignment="1" applyProtection="1">
      <alignment horizontal="center"/>
    </xf>
    <xf numFmtId="1" fontId="32" fillId="0" borderId="24" xfId="61" applyNumberFormat="1" applyFont="1" applyFill="1" applyBorder="1" applyAlignment="1" applyProtection="1">
      <alignment horizontal="center"/>
    </xf>
    <xf numFmtId="1" fontId="32" fillId="0" borderId="25" xfId="61" applyNumberFormat="1" applyFont="1" applyFill="1" applyBorder="1" applyAlignment="1" applyProtection="1">
      <alignment horizontal="center"/>
    </xf>
    <xf numFmtId="1" fontId="32" fillId="0" borderId="26" xfId="61" applyNumberFormat="1" applyFont="1" applyFill="1" applyBorder="1" applyAlignment="1" applyProtection="1">
      <alignment horizontal="center"/>
    </xf>
    <xf numFmtId="1" fontId="32" fillId="0" borderId="27" xfId="61" applyNumberFormat="1" applyFont="1" applyFill="1" applyBorder="1" applyAlignment="1" applyProtection="1">
      <alignment horizontal="center"/>
    </xf>
    <xf numFmtId="1" fontId="32" fillId="0" borderId="16" xfId="61" applyNumberFormat="1" applyFont="1" applyFill="1" applyBorder="1" applyAlignment="1" applyProtection="1">
      <alignment horizontal="center"/>
    </xf>
    <xf numFmtId="172" fontId="33" fillId="18" borderId="28" xfId="61" applyNumberFormat="1" applyFont="1" applyFill="1" applyBorder="1" applyAlignment="1" applyProtection="1">
      <alignment horizontal="center"/>
    </xf>
    <xf numFmtId="172" fontId="32" fillId="0" borderId="29" xfId="61" applyNumberFormat="1" applyFont="1" applyFill="1" applyBorder="1" applyAlignment="1" applyProtection="1">
      <alignment horizontal="center"/>
    </xf>
    <xf numFmtId="172" fontId="32" fillId="0" borderId="30" xfId="61" applyNumberFormat="1" applyFont="1" applyFill="1" applyBorder="1" applyAlignment="1" applyProtection="1">
      <alignment horizontal="center"/>
    </xf>
    <xf numFmtId="172" fontId="32" fillId="0" borderId="10" xfId="61" applyNumberFormat="1" applyFont="1" applyFill="1" applyBorder="1" applyAlignment="1" applyProtection="1">
      <alignment horizontal="center"/>
    </xf>
    <xf numFmtId="172" fontId="33" fillId="0" borderId="25" xfId="61" applyNumberFormat="1" applyFont="1" applyFill="1" applyBorder="1" applyAlignment="1" applyProtection="1">
      <alignment horizontal="center"/>
    </xf>
    <xf numFmtId="172" fontId="32" fillId="0" borderId="26" xfId="61" applyNumberFormat="1" applyFont="1" applyFill="1" applyBorder="1" applyAlignment="1" applyProtection="1">
      <alignment horizontal="center"/>
    </xf>
    <xf numFmtId="172" fontId="32" fillId="0" borderId="27" xfId="61" applyNumberFormat="1" applyFont="1" applyFill="1" applyBorder="1" applyAlignment="1" applyProtection="1">
      <alignment horizontal="center"/>
    </xf>
    <xf numFmtId="172" fontId="32" fillId="0" borderId="16" xfId="61" applyNumberFormat="1" applyFont="1" applyFill="1" applyBorder="1" applyAlignment="1" applyProtection="1">
      <alignment horizontal="center"/>
    </xf>
    <xf numFmtId="172" fontId="34" fillId="0" borderId="31" xfId="61" applyNumberFormat="1" applyFont="1" applyFill="1" applyBorder="1" applyAlignment="1" applyProtection="1">
      <alignment horizontal="center"/>
    </xf>
    <xf numFmtId="172" fontId="32" fillId="0" borderId="32" xfId="61" applyNumberFormat="1" applyFont="1" applyFill="1" applyBorder="1" applyAlignment="1" applyProtection="1">
      <alignment horizontal="center"/>
    </xf>
    <xf numFmtId="172" fontId="32" fillId="0" borderId="33" xfId="61" applyNumberFormat="1" applyFont="1" applyFill="1" applyBorder="1" applyAlignment="1" applyProtection="1">
      <alignment horizontal="center"/>
    </xf>
    <xf numFmtId="172" fontId="32" fillId="0" borderId="34" xfId="61" applyNumberFormat="1" applyFont="1" applyFill="1" applyBorder="1" applyAlignment="1" applyProtection="1">
      <alignment horizontal="center"/>
    </xf>
    <xf numFmtId="172" fontId="32" fillId="0" borderId="31" xfId="61" applyNumberFormat="1" applyFont="1" applyFill="1" applyBorder="1" applyAlignment="1" applyProtection="1">
      <alignment horizontal="center"/>
    </xf>
    <xf numFmtId="172" fontId="33" fillId="0" borderId="21" xfId="61" applyNumberFormat="1" applyFont="1" applyFill="1" applyBorder="1" applyAlignment="1" applyProtection="1">
      <alignment horizontal="center"/>
    </xf>
    <xf numFmtId="172" fontId="32" fillId="0" borderId="22" xfId="61" applyNumberFormat="1" applyFont="1" applyFill="1" applyBorder="1" applyAlignment="1" applyProtection="1">
      <alignment horizontal="center"/>
    </xf>
    <xf numFmtId="172" fontId="32" fillId="0" borderId="23" xfId="61" applyNumberFormat="1" applyFont="1" applyFill="1" applyBorder="1" applyAlignment="1" applyProtection="1">
      <alignment horizontal="center"/>
    </xf>
    <xf numFmtId="172" fontId="32" fillId="0" borderId="24" xfId="61" applyNumberFormat="1" applyFont="1" applyFill="1" applyBorder="1" applyAlignment="1" applyProtection="1">
      <alignment horizontal="center"/>
    </xf>
    <xf numFmtId="43" fontId="3" fillId="0" borderId="35" xfId="2" applyFont="1" applyFill="1" applyBorder="1" applyAlignment="1" applyProtection="1">
      <alignment horizontal="center" vertical="center"/>
    </xf>
    <xf numFmtId="43" fontId="3" fillId="0" borderId="20" xfId="2" applyFont="1" applyFill="1" applyBorder="1" applyAlignment="1" applyProtection="1">
      <alignment horizontal="center" vertical="center"/>
    </xf>
    <xf numFmtId="43" fontId="3" fillId="0" borderId="36" xfId="2" applyFont="1" applyFill="1" applyBorder="1" applyAlignment="1" applyProtection="1">
      <alignment horizontal="center" vertical="center"/>
    </xf>
    <xf numFmtId="43" fontId="3" fillId="0" borderId="37" xfId="2" applyFont="1" applyFill="1" applyBorder="1" applyAlignment="1" applyProtection="1">
      <alignment horizontal="center" vertical="center"/>
    </xf>
    <xf numFmtId="43" fontId="3" fillId="0" borderId="0" xfId="2" applyFont="1" applyAlignment="1" applyProtection="1">
      <alignment vertical="center"/>
    </xf>
    <xf numFmtId="43" fontId="3" fillId="18" borderId="29" xfId="2" applyFont="1" applyFill="1" applyBorder="1" applyAlignment="1" applyProtection="1">
      <alignment horizontal="center" vertical="center"/>
    </xf>
    <xf numFmtId="43" fontId="3" fillId="18" borderId="30" xfId="2" applyFont="1" applyFill="1" applyBorder="1" applyAlignment="1" applyProtection="1">
      <alignment horizontal="center" vertical="center"/>
    </xf>
    <xf numFmtId="43" fontId="3" fillId="18" borderId="38" xfId="2" applyFont="1" applyFill="1" applyBorder="1" applyAlignment="1" applyProtection="1">
      <alignment horizontal="center" vertical="center"/>
    </xf>
    <xf numFmtId="43" fontId="0" fillId="0" borderId="0" xfId="2" applyFont="1" applyAlignment="1" applyProtection="1">
      <alignment vertical="center"/>
    </xf>
    <xf numFmtId="43" fontId="3" fillId="0" borderId="29" xfId="2" applyFont="1" applyFill="1" applyBorder="1" applyAlignment="1" applyProtection="1">
      <alignment horizontal="center" vertical="center"/>
    </xf>
    <xf numFmtId="43" fontId="3" fillId="0" borderId="12" xfId="2" applyFont="1" applyFill="1" applyBorder="1" applyAlignment="1" applyProtection="1">
      <alignment horizontal="center" vertical="center"/>
    </xf>
    <xf numFmtId="43" fontId="3" fillId="0" borderId="38" xfId="2" applyFont="1" applyFill="1" applyBorder="1" applyAlignment="1" applyProtection="1">
      <alignment horizontal="center" vertical="center"/>
    </xf>
    <xf numFmtId="43" fontId="3" fillId="0" borderId="30" xfId="2" applyFont="1" applyFill="1" applyBorder="1" applyAlignment="1" applyProtection="1">
      <alignment horizontal="center" vertical="center"/>
    </xf>
    <xf numFmtId="43" fontId="30" fillId="18" borderId="29" xfId="2" applyFont="1" applyFill="1" applyBorder="1" applyAlignment="1" applyProtection="1">
      <alignment horizontal="center" vertical="center"/>
    </xf>
    <xf numFmtId="43" fontId="30" fillId="18" borderId="30" xfId="2" applyFont="1" applyFill="1" applyBorder="1" applyAlignment="1" applyProtection="1">
      <alignment horizontal="center" vertical="center"/>
    </xf>
    <xf numFmtId="43" fontId="30" fillId="18" borderId="38" xfId="2" applyFont="1" applyFill="1" applyBorder="1" applyAlignment="1" applyProtection="1">
      <alignment horizontal="center" vertical="center"/>
    </xf>
    <xf numFmtId="43" fontId="30" fillId="18" borderId="12" xfId="2" applyFont="1" applyFill="1" applyBorder="1" applyAlignment="1" applyProtection="1">
      <alignment horizontal="center" vertical="center"/>
    </xf>
    <xf numFmtId="43" fontId="30" fillId="18" borderId="39" xfId="2" applyFont="1" applyFill="1" applyBorder="1" applyAlignment="1" applyProtection="1">
      <alignment horizontal="center" vertical="center"/>
    </xf>
    <xf numFmtId="43" fontId="30" fillId="18" borderId="40" xfId="2" applyFont="1" applyFill="1" applyBorder="1" applyAlignment="1" applyProtection="1">
      <alignment horizontal="center" vertical="center"/>
    </xf>
    <xf numFmtId="43" fontId="30" fillId="18" borderId="41" xfId="2" applyFont="1" applyFill="1" applyBorder="1" applyAlignment="1" applyProtection="1">
      <alignment horizontal="center" vertical="center"/>
    </xf>
    <xf numFmtId="43" fontId="30" fillId="18" borderId="42" xfId="2" applyFont="1" applyFill="1" applyBorder="1" applyAlignment="1" applyProtection="1">
      <alignment horizontal="center" vertical="center"/>
    </xf>
    <xf numFmtId="43" fontId="3" fillId="18" borderId="39" xfId="2" applyFont="1" applyFill="1" applyBorder="1" applyAlignment="1" applyProtection="1">
      <alignment horizontal="center" vertical="center"/>
    </xf>
    <xf numFmtId="43" fontId="3" fillId="18" borderId="40" xfId="2" applyFont="1" applyFill="1" applyBorder="1" applyAlignment="1" applyProtection="1">
      <alignment horizontal="center" vertical="center"/>
    </xf>
    <xf numFmtId="43" fontId="3" fillId="18" borderId="41" xfId="2" applyFont="1" applyFill="1" applyBorder="1" applyAlignment="1" applyProtection="1">
      <alignment horizontal="center" vertical="center"/>
    </xf>
    <xf numFmtId="43" fontId="3" fillId="19" borderId="29" xfId="2" applyFont="1" applyFill="1" applyBorder="1" applyAlignment="1" applyProtection="1">
      <alignment horizontal="center" vertical="center"/>
      <protection locked="0"/>
    </xf>
    <xf numFmtId="43" fontId="0" fillId="0" borderId="0" xfId="2" applyFont="1" applyProtection="1"/>
    <xf numFmtId="43" fontId="35" fillId="19" borderId="29" xfId="2" applyFont="1" applyFill="1" applyBorder="1" applyAlignment="1" applyProtection="1">
      <alignment horizontal="center" vertical="center"/>
      <protection locked="0"/>
    </xf>
    <xf numFmtId="43" fontId="35" fillId="19" borderId="12" xfId="2" applyFont="1" applyFill="1" applyBorder="1" applyAlignment="1" applyProtection="1">
      <alignment horizontal="center" vertical="center"/>
      <protection locked="0"/>
    </xf>
    <xf numFmtId="43" fontId="35" fillId="19" borderId="38" xfId="2" applyFont="1" applyFill="1" applyBorder="1" applyAlignment="1" applyProtection="1">
      <alignment horizontal="center" vertical="center"/>
      <protection locked="0"/>
    </xf>
    <xf numFmtId="43" fontId="35" fillId="19" borderId="30" xfId="2" applyFont="1" applyFill="1" applyBorder="1" applyAlignment="1" applyProtection="1">
      <alignment horizontal="center" vertical="center"/>
      <protection locked="0"/>
    </xf>
    <xf numFmtId="43" fontId="3" fillId="0" borderId="43" xfId="2" applyFont="1" applyBorder="1" applyAlignment="1" applyProtection="1">
      <alignment horizontal="center" vertical="center"/>
    </xf>
    <xf numFmtId="43" fontId="3" fillId="0" borderId="14" xfId="2" applyFont="1" applyBorder="1" applyAlignment="1" applyProtection="1">
      <alignment horizontal="center" vertical="center"/>
    </xf>
    <xf numFmtId="43" fontId="3" fillId="0" borderId="44" xfId="2" applyFont="1" applyBorder="1" applyAlignment="1" applyProtection="1">
      <alignment horizontal="center" vertical="center"/>
    </xf>
    <xf numFmtId="43" fontId="3" fillId="0" borderId="45" xfId="2" applyFont="1" applyBorder="1" applyAlignment="1" applyProtection="1">
      <alignment horizontal="center" vertical="center"/>
    </xf>
    <xf numFmtId="43" fontId="3" fillId="0" borderId="0" xfId="2" applyFont="1" applyBorder="1" applyAlignment="1" applyProtection="1">
      <alignment horizontal="center" vertical="center"/>
    </xf>
    <xf numFmtId="43" fontId="3" fillId="0" borderId="46" xfId="2" applyFont="1" applyBorder="1" applyAlignment="1" applyProtection="1">
      <alignment horizontal="center" vertical="center"/>
    </xf>
    <xf numFmtId="43" fontId="3" fillId="0" borderId="47" xfId="2" applyFont="1" applyBorder="1" applyProtection="1"/>
    <xf numFmtId="43" fontId="3" fillId="0" borderId="19" xfId="2" applyFont="1" applyBorder="1" applyProtection="1"/>
    <xf numFmtId="43" fontId="3" fillId="0" borderId="48" xfId="2" applyFont="1" applyBorder="1" applyProtection="1"/>
    <xf numFmtId="43" fontId="36" fillId="0" borderId="0" xfId="2" applyFont="1" applyProtection="1"/>
    <xf numFmtId="43" fontId="3" fillId="0" borderId="0" xfId="2" applyFont="1" applyAlignment="1" applyProtection="1">
      <alignment horizontal="center" vertical="center"/>
    </xf>
    <xf numFmtId="43" fontId="30" fillId="0" borderId="49" xfId="2" applyFont="1" applyBorder="1" applyAlignment="1" applyProtection="1">
      <alignment horizontal="centerContinuous" vertical="center"/>
    </xf>
    <xf numFmtId="43" fontId="30" fillId="0" borderId="50" xfId="2" applyFont="1" applyBorder="1" applyAlignment="1" applyProtection="1">
      <alignment horizontal="centerContinuous" vertical="center"/>
    </xf>
    <xf numFmtId="43" fontId="3" fillId="0" borderId="51" xfId="2" applyFont="1" applyBorder="1" applyAlignment="1" applyProtection="1">
      <alignment horizontal="centerContinuous" vertical="center"/>
    </xf>
    <xf numFmtId="43" fontId="3" fillId="0" borderId="50" xfId="2" applyFont="1" applyBorder="1" applyAlignment="1" applyProtection="1">
      <alignment horizontal="centerContinuous" vertical="center"/>
    </xf>
    <xf numFmtId="43" fontId="30" fillId="0" borderId="35" xfId="2" applyFont="1" applyBorder="1" applyAlignment="1" applyProtection="1">
      <alignment horizontal="center" vertical="center" wrapText="1"/>
    </xf>
    <xf numFmtId="43" fontId="30" fillId="0" borderId="37" xfId="2" applyFont="1" applyBorder="1" applyAlignment="1" applyProtection="1">
      <alignment horizontal="center" vertical="center" wrapText="1"/>
    </xf>
    <xf numFmtId="43" fontId="30" fillId="0" borderId="36" xfId="2" applyFont="1" applyBorder="1" applyAlignment="1" applyProtection="1">
      <alignment horizontal="center" vertical="center" wrapText="1"/>
    </xf>
    <xf numFmtId="43" fontId="30" fillId="0" borderId="20" xfId="2" applyFont="1" applyBorder="1" applyAlignment="1" applyProtection="1">
      <alignment horizontal="center" vertical="center" wrapText="1"/>
    </xf>
    <xf numFmtId="43" fontId="30" fillId="0" borderId="43" xfId="2" applyFont="1" applyBorder="1" applyAlignment="1" applyProtection="1">
      <alignment horizontal="center" vertical="center"/>
    </xf>
    <xf numFmtId="43" fontId="30" fillId="0" borderId="14" xfId="2" applyFont="1" applyBorder="1" applyAlignment="1" applyProtection="1">
      <alignment horizontal="center" vertical="center"/>
    </xf>
    <xf numFmtId="43" fontId="30" fillId="0" borderId="44" xfId="2" applyFont="1" applyBorder="1" applyAlignment="1" applyProtection="1">
      <alignment horizontal="center" vertical="center"/>
    </xf>
    <xf numFmtId="43" fontId="0" fillId="0" borderId="0" xfId="2" applyFont="1" applyBorder="1" applyProtection="1"/>
    <xf numFmtId="43" fontId="30" fillId="0" borderId="45" xfId="2" applyFont="1" applyBorder="1" applyAlignment="1" applyProtection="1">
      <alignment horizontal="center" vertical="center"/>
    </xf>
    <xf numFmtId="43" fontId="30" fillId="0" borderId="0" xfId="2" applyFont="1" applyBorder="1" applyAlignment="1" applyProtection="1">
      <alignment horizontal="center" vertical="center"/>
    </xf>
    <xf numFmtId="43" fontId="30" fillId="0" borderId="46" xfId="2" applyFont="1" applyBorder="1" applyAlignment="1" applyProtection="1">
      <alignment horizontal="center" vertical="center"/>
    </xf>
    <xf numFmtId="43" fontId="35" fillId="19" borderId="52" xfId="2" applyFont="1" applyFill="1" applyBorder="1" applyAlignment="1" applyProtection="1">
      <alignment horizontal="center" vertical="center"/>
      <protection locked="0"/>
    </xf>
    <xf numFmtId="43" fontId="35" fillId="19" borderId="15" xfId="2" applyFont="1" applyFill="1" applyBorder="1" applyAlignment="1" applyProtection="1">
      <alignment horizontal="center" vertical="center"/>
      <protection locked="0"/>
    </xf>
    <xf numFmtId="43" fontId="35" fillId="19" borderId="53" xfId="2" applyFont="1" applyFill="1" applyBorder="1" applyAlignment="1" applyProtection="1">
      <alignment horizontal="center" vertical="center"/>
      <protection locked="0"/>
    </xf>
    <xf numFmtId="43" fontId="35" fillId="19" borderId="54" xfId="2" applyFont="1" applyFill="1" applyBorder="1" applyAlignment="1" applyProtection="1">
      <alignment horizontal="center" vertical="center"/>
      <protection locked="0"/>
    </xf>
    <xf numFmtId="43" fontId="36" fillId="0" borderId="0" xfId="2" applyFont="1" applyBorder="1" applyProtection="1"/>
    <xf numFmtId="43" fontId="3" fillId="0" borderId="0" xfId="2" applyFont="1" applyFill="1" applyAlignment="1" applyProtection="1">
      <alignment horizontal="center" vertical="center"/>
    </xf>
    <xf numFmtId="43" fontId="30" fillId="0" borderId="55" xfId="2" applyFont="1" applyBorder="1" applyAlignment="1" applyProtection="1">
      <alignment horizontal="centerContinuous" vertical="center"/>
    </xf>
    <xf numFmtId="43" fontId="30" fillId="0" borderId="56" xfId="2" applyFont="1" applyBorder="1" applyAlignment="1" applyProtection="1">
      <alignment horizontal="centerContinuous" vertical="center"/>
    </xf>
    <xf numFmtId="43" fontId="30" fillId="0" borderId="57" xfId="2" applyFont="1" applyBorder="1" applyAlignment="1" applyProtection="1">
      <alignment horizontal="centerContinuous" vertical="center"/>
    </xf>
    <xf numFmtId="43" fontId="30" fillId="0" borderId="29" xfId="2" applyFont="1" applyBorder="1" applyAlignment="1" applyProtection="1">
      <alignment horizontal="center" vertical="center" wrapText="1"/>
    </xf>
    <xf numFmtId="43" fontId="30" fillId="0" borderId="30" xfId="2" applyFont="1" applyBorder="1" applyAlignment="1" applyProtection="1">
      <alignment horizontal="center" vertical="center" wrapText="1"/>
    </xf>
    <xf numFmtId="43" fontId="30" fillId="0" borderId="38" xfId="2" applyFont="1" applyBorder="1" applyAlignment="1" applyProtection="1">
      <alignment horizontal="center" vertical="center" wrapText="1"/>
    </xf>
    <xf numFmtId="43" fontId="3" fillId="0" borderId="47" xfId="2" applyFont="1" applyFill="1" applyBorder="1" applyAlignment="1" applyProtection="1">
      <alignment horizontal="center" vertical="center"/>
    </xf>
    <xf numFmtId="43" fontId="3" fillId="0" borderId="19" xfId="2" applyFont="1" applyFill="1" applyBorder="1" applyAlignment="1" applyProtection="1">
      <alignment horizontal="center" vertical="center"/>
    </xf>
    <xf numFmtId="43" fontId="3" fillId="0" borderId="48" xfId="2" applyFont="1" applyFill="1" applyBorder="1" applyAlignment="1" applyProtection="1">
      <alignment horizontal="center" vertical="center"/>
    </xf>
    <xf numFmtId="43" fontId="3" fillId="0" borderId="47" xfId="2" applyFont="1" applyBorder="1" applyAlignment="1" applyProtection="1">
      <alignment horizontal="center" vertical="center"/>
    </xf>
    <xf numFmtId="43" fontId="3" fillId="0" borderId="19" xfId="2" applyFont="1" applyBorder="1" applyAlignment="1" applyProtection="1">
      <alignment horizontal="center" vertical="center"/>
    </xf>
    <xf numFmtId="43" fontId="3" fillId="0" borderId="48" xfId="2" applyFont="1" applyBorder="1" applyAlignment="1" applyProtection="1">
      <alignment horizontal="center" vertical="center"/>
    </xf>
    <xf numFmtId="43" fontId="3" fillId="18" borderId="12" xfId="2" applyFont="1" applyFill="1" applyBorder="1" applyAlignment="1" applyProtection="1">
      <alignment horizontal="center" vertical="center"/>
    </xf>
    <xf numFmtId="43" fontId="3" fillId="0" borderId="58" xfId="2" applyFont="1" applyBorder="1" applyAlignment="1" applyProtection="1">
      <alignment horizontal="center" vertical="center"/>
    </xf>
    <xf numFmtId="43" fontId="3" fillId="0" borderId="11" xfId="2" applyFont="1" applyBorder="1" applyAlignment="1" applyProtection="1">
      <alignment horizontal="center" vertical="center"/>
    </xf>
    <xf numFmtId="43" fontId="3" fillId="0" borderId="59" xfId="2" applyFont="1" applyBorder="1" applyAlignment="1" applyProtection="1">
      <alignment horizontal="center" vertical="center"/>
    </xf>
    <xf numFmtId="43" fontId="3" fillId="0" borderId="58" xfId="2" applyFont="1" applyFill="1" applyBorder="1" applyAlignment="1" applyProtection="1">
      <alignment horizontal="center" vertical="center"/>
    </xf>
    <xf numFmtId="43" fontId="35" fillId="20" borderId="29" xfId="2" applyFont="1" applyFill="1" applyBorder="1" applyAlignment="1" applyProtection="1">
      <alignment horizontal="center" vertical="center"/>
    </xf>
    <xf numFmtId="43" fontId="35" fillId="20" borderId="12" xfId="2" applyFont="1" applyFill="1" applyBorder="1" applyAlignment="1" applyProtection="1">
      <alignment horizontal="center" vertical="center"/>
    </xf>
    <xf numFmtId="43" fontId="35" fillId="20" borderId="39" xfId="2" applyFont="1" applyFill="1" applyBorder="1" applyAlignment="1" applyProtection="1">
      <alignment horizontal="center" vertical="center"/>
    </xf>
    <xf numFmtId="43" fontId="35" fillId="20" borderId="42" xfId="2" applyFont="1" applyFill="1" applyBorder="1" applyAlignment="1" applyProtection="1">
      <alignment horizontal="center" vertical="center"/>
    </xf>
    <xf numFmtId="43" fontId="35" fillId="19" borderId="42" xfId="2" applyFont="1" applyFill="1" applyBorder="1" applyAlignment="1" applyProtection="1">
      <alignment horizontal="center" vertical="center"/>
      <protection locked="0"/>
    </xf>
    <xf numFmtId="43" fontId="35" fillId="19" borderId="41" xfId="2" applyFont="1" applyFill="1" applyBorder="1" applyAlignment="1" applyProtection="1">
      <alignment horizontal="center" vertical="center"/>
      <protection locked="0"/>
    </xf>
    <xf numFmtId="43" fontId="35" fillId="19" borderId="40" xfId="2" applyFont="1" applyFill="1" applyBorder="1" applyAlignment="1" applyProtection="1">
      <alignment horizontal="center" vertical="center"/>
      <protection locked="0"/>
    </xf>
    <xf numFmtId="43" fontId="3" fillId="0" borderId="0" xfId="2" applyFont="1" applyProtection="1"/>
    <xf numFmtId="43" fontId="3" fillId="18" borderId="35" xfId="2" applyFont="1" applyFill="1" applyBorder="1" applyAlignment="1" applyProtection="1">
      <alignment horizontal="center" vertical="center"/>
    </xf>
    <xf numFmtId="43" fontId="3" fillId="18" borderId="37" xfId="2" applyFont="1" applyFill="1" applyBorder="1" applyAlignment="1" applyProtection="1">
      <alignment horizontal="center" vertical="center"/>
    </xf>
    <xf numFmtId="43" fontId="3" fillId="18" borderId="36" xfId="2" applyFont="1" applyFill="1" applyBorder="1" applyAlignment="1" applyProtection="1">
      <alignment horizontal="center" vertical="center"/>
    </xf>
    <xf numFmtId="43" fontId="3" fillId="0" borderId="39" xfId="2" applyFont="1" applyFill="1" applyBorder="1" applyAlignment="1" applyProtection="1">
      <alignment horizontal="center" vertical="center"/>
    </xf>
    <xf numFmtId="43" fontId="3" fillId="0" borderId="42" xfId="2" applyFont="1" applyFill="1" applyBorder="1" applyAlignment="1" applyProtection="1">
      <alignment horizontal="center" vertical="center"/>
    </xf>
    <xf numFmtId="43" fontId="3" fillId="0" borderId="41" xfId="2" applyFont="1" applyFill="1" applyBorder="1" applyAlignment="1" applyProtection="1">
      <alignment horizontal="center" vertical="center"/>
    </xf>
    <xf numFmtId="43" fontId="3" fillId="0" borderId="40" xfId="2" applyFont="1" applyFill="1" applyBorder="1" applyAlignment="1" applyProtection="1">
      <alignment horizontal="center" vertical="center"/>
    </xf>
    <xf numFmtId="170" fontId="35" fillId="19" borderId="29" xfId="62" applyNumberFormat="1" applyFont="1" applyFill="1" applyBorder="1" applyAlignment="1" applyProtection="1">
      <alignment horizontal="center" vertical="center"/>
      <protection locked="0"/>
    </xf>
    <xf numFmtId="170" fontId="35" fillId="19" borderId="12" xfId="62" applyNumberFormat="1" applyFont="1" applyFill="1" applyBorder="1" applyAlignment="1" applyProtection="1">
      <alignment horizontal="center" vertical="center"/>
      <protection locked="0"/>
    </xf>
    <xf numFmtId="170" fontId="35" fillId="19" borderId="38" xfId="62" applyNumberFormat="1" applyFont="1" applyFill="1" applyBorder="1" applyAlignment="1" applyProtection="1">
      <alignment horizontal="center" vertical="center"/>
      <protection locked="0"/>
    </xf>
    <xf numFmtId="170" fontId="35" fillId="19" borderId="30" xfId="62" applyNumberFormat="1" applyFont="1" applyFill="1" applyBorder="1" applyAlignment="1" applyProtection="1">
      <alignment horizontal="center" vertical="center"/>
      <protection locked="0"/>
    </xf>
    <xf numFmtId="170" fontId="0" fillId="0" borderId="0" xfId="0" applyNumberFormat="1" applyBorder="1" applyProtection="1"/>
    <xf numFmtId="170" fontId="3" fillId="18" borderId="29" xfId="62" applyNumberFormat="1" applyFont="1" applyFill="1" applyBorder="1" applyAlignment="1" applyProtection="1">
      <alignment horizontal="center" vertical="center"/>
    </xf>
    <xf numFmtId="170" fontId="3" fillId="18" borderId="30" xfId="62" applyNumberFormat="1" applyFont="1" applyFill="1" applyBorder="1" applyAlignment="1" applyProtection="1">
      <alignment horizontal="center" vertical="center"/>
    </xf>
    <xf numFmtId="170" fontId="3" fillId="18" borderId="38" xfId="62" applyNumberFormat="1" applyFont="1" applyFill="1" applyBorder="1" applyAlignment="1" applyProtection="1">
      <alignment horizontal="center" vertical="center"/>
    </xf>
    <xf numFmtId="0" fontId="3" fillId="0" borderId="0" xfId="62" applyFont="1" applyAlignment="1" applyProtection="1">
      <alignment horizontal="center" vertical="center"/>
    </xf>
    <xf numFmtId="164" fontId="3" fillId="18" borderId="38" xfId="1" applyNumberFormat="1" applyFont="1" applyFill="1" applyBorder="1" applyAlignment="1" applyProtection="1">
      <alignment horizontal="center" vertical="center"/>
    </xf>
    <xf numFmtId="170" fontId="35" fillId="20" borderId="29" xfId="62" applyNumberFormat="1" applyFont="1" applyFill="1" applyBorder="1" applyAlignment="1" applyProtection="1">
      <alignment horizontal="center" vertical="center"/>
    </xf>
    <xf numFmtId="170" fontId="35" fillId="20" borderId="12" xfId="62" applyNumberFormat="1" applyFont="1" applyFill="1" applyBorder="1" applyAlignment="1" applyProtection="1">
      <alignment horizontal="center" vertical="center"/>
    </xf>
    <xf numFmtId="170" fontId="0" fillId="0" borderId="0" xfId="0" applyNumberFormat="1" applyProtection="1"/>
    <xf numFmtId="170" fontId="30" fillId="18" borderId="29" xfId="62" applyNumberFormat="1" applyFont="1" applyFill="1" applyBorder="1" applyAlignment="1" applyProtection="1">
      <alignment horizontal="center" vertical="center"/>
    </xf>
    <xf numFmtId="170" fontId="30" fillId="18" borderId="12" xfId="62" applyNumberFormat="1" applyFont="1" applyFill="1" applyBorder="1" applyAlignment="1" applyProtection="1">
      <alignment horizontal="center" vertical="center"/>
    </xf>
    <xf numFmtId="170" fontId="30" fillId="18" borderId="38" xfId="62" applyNumberFormat="1" applyFont="1" applyFill="1" applyBorder="1" applyAlignment="1" applyProtection="1">
      <alignment horizontal="center" vertical="center"/>
    </xf>
    <xf numFmtId="170" fontId="30" fillId="18" borderId="30" xfId="62" applyNumberFormat="1" applyFont="1" applyFill="1" applyBorder="1" applyAlignment="1" applyProtection="1">
      <alignment horizontal="center" vertical="center"/>
    </xf>
    <xf numFmtId="170" fontId="36" fillId="0" borderId="0" xfId="0" applyNumberFormat="1" applyFont="1" applyProtection="1"/>
    <xf numFmtId="164" fontId="30" fillId="18" borderId="38" xfId="62" applyNumberFormat="1" applyFont="1" applyFill="1" applyBorder="1" applyAlignment="1" applyProtection="1">
      <alignment horizontal="center" vertical="center"/>
    </xf>
    <xf numFmtId="170" fontId="3" fillId="0" borderId="45" xfId="62" applyNumberFormat="1" applyFont="1" applyFill="1" applyBorder="1" applyAlignment="1" applyProtection="1">
      <alignment horizontal="center" vertical="center"/>
    </xf>
    <xf numFmtId="170" fontId="3" fillId="0" borderId="0" xfId="62" applyNumberFormat="1" applyFont="1" applyFill="1" applyBorder="1" applyAlignment="1" applyProtection="1">
      <alignment horizontal="center" vertical="center"/>
    </xf>
    <xf numFmtId="170" fontId="3" fillId="0" borderId="46" xfId="62" applyNumberFormat="1" applyFont="1" applyFill="1" applyBorder="1" applyAlignment="1" applyProtection="1">
      <alignment horizontal="center" vertical="center"/>
    </xf>
    <xf numFmtId="170" fontId="3" fillId="0" borderId="0" xfId="62" applyNumberFormat="1" applyFont="1" applyBorder="1" applyAlignment="1" applyProtection="1">
      <alignment horizontal="center" vertical="center"/>
    </xf>
    <xf numFmtId="170" fontId="3" fillId="0" borderId="46" xfId="62" applyNumberFormat="1" applyFont="1" applyBorder="1" applyAlignment="1" applyProtection="1">
      <alignment horizontal="center" vertical="center"/>
    </xf>
    <xf numFmtId="164" fontId="3" fillId="0" borderId="46" xfId="1" applyNumberFormat="1" applyFont="1" applyBorder="1" applyAlignment="1" applyProtection="1">
      <alignment horizontal="center" vertical="center"/>
    </xf>
    <xf numFmtId="170" fontId="35" fillId="20" borderId="39" xfId="62" applyNumberFormat="1" applyFont="1" applyFill="1" applyBorder="1" applyAlignment="1" applyProtection="1">
      <alignment horizontal="center" vertical="center"/>
    </xf>
    <xf numFmtId="170" fontId="35" fillId="20" borderId="42" xfId="62" applyNumberFormat="1" applyFont="1" applyFill="1" applyBorder="1" applyAlignment="1" applyProtection="1">
      <alignment horizontal="center" vertical="center"/>
    </xf>
    <xf numFmtId="170" fontId="35" fillId="19" borderId="42" xfId="62" applyNumberFormat="1" applyFont="1" applyFill="1" applyBorder="1" applyAlignment="1" applyProtection="1">
      <alignment horizontal="center" vertical="center"/>
      <protection locked="0"/>
    </xf>
    <xf numFmtId="170" fontId="35" fillId="19" borderId="41" xfId="62" applyNumberFormat="1" applyFont="1" applyFill="1" applyBorder="1" applyAlignment="1" applyProtection="1">
      <alignment horizontal="center" vertical="center"/>
      <protection locked="0"/>
    </xf>
    <xf numFmtId="170" fontId="35" fillId="19" borderId="40" xfId="62" applyNumberFormat="1" applyFont="1" applyFill="1" applyBorder="1" applyAlignment="1" applyProtection="1">
      <alignment horizontal="center" vertical="center"/>
      <protection locked="0"/>
    </xf>
    <xf numFmtId="170" fontId="3" fillId="18" borderId="39" xfId="62" applyNumberFormat="1" applyFont="1" applyFill="1" applyBorder="1" applyAlignment="1" applyProtection="1">
      <alignment horizontal="center" vertical="center"/>
    </xf>
    <xf numFmtId="170" fontId="3" fillId="18" borderId="40" xfId="62" applyNumberFormat="1" applyFont="1" applyFill="1" applyBorder="1" applyAlignment="1" applyProtection="1">
      <alignment horizontal="center" vertical="center"/>
    </xf>
    <xf numFmtId="170" fontId="3" fillId="18" borderId="41" xfId="62" applyNumberFormat="1" applyFont="1" applyFill="1" applyBorder="1" applyAlignment="1" applyProtection="1">
      <alignment horizontal="center" vertical="center"/>
    </xf>
    <xf numFmtId="164" fontId="3" fillId="18" borderId="41" xfId="1" applyNumberFormat="1" applyFont="1" applyFill="1" applyBorder="1" applyAlignment="1" applyProtection="1">
      <alignment horizontal="center" vertical="center"/>
    </xf>
    <xf numFmtId="0" fontId="35" fillId="19" borderId="30" xfId="62" applyFont="1" applyFill="1" applyBorder="1" applyAlignment="1" applyProtection="1">
      <alignment horizontal="center" vertical="center"/>
      <protection locked="0"/>
    </xf>
    <xf numFmtId="0" fontId="35" fillId="19" borderId="10" xfId="62" applyFont="1" applyFill="1" applyBorder="1" applyAlignment="1" applyProtection="1">
      <alignment horizontal="center" vertical="center"/>
      <protection locked="0"/>
    </xf>
    <xf numFmtId="171" fontId="35" fillId="19" borderId="29" xfId="62" applyNumberFormat="1" applyFont="1" applyFill="1" applyBorder="1" applyAlignment="1" applyProtection="1">
      <alignment horizontal="center" vertical="center"/>
      <protection locked="0"/>
    </xf>
    <xf numFmtId="170" fontId="3" fillId="18" borderId="38" xfId="62" applyNumberFormat="1" applyFont="1" applyFill="1" applyBorder="1" applyAlignment="1" applyProtection="1">
      <alignment horizontal="center" vertical="center"/>
      <protection locked="0"/>
    </xf>
    <xf numFmtId="171" fontId="35" fillId="19" borderId="12" xfId="62" applyNumberFormat="1" applyFont="1" applyFill="1" applyBorder="1" applyAlignment="1" applyProtection="1">
      <alignment horizontal="center" vertical="center"/>
      <protection locked="0"/>
    </xf>
    <xf numFmtId="171" fontId="35" fillId="19" borderId="38" xfId="62" applyNumberFormat="1" applyFont="1" applyFill="1" applyBorder="1" applyAlignment="1" applyProtection="1">
      <alignment horizontal="center" vertical="center"/>
      <protection locked="0"/>
    </xf>
    <xf numFmtId="171" fontId="35" fillId="19" borderId="30" xfId="62" applyNumberFormat="1" applyFont="1" applyFill="1" applyBorder="1" applyAlignment="1" applyProtection="1">
      <alignment horizontal="center" vertical="center"/>
      <protection locked="0"/>
    </xf>
    <xf numFmtId="171" fontId="35" fillId="19" borderId="55" xfId="62" applyNumberFormat="1" applyFont="1" applyFill="1" applyBorder="1" applyAlignment="1" applyProtection="1">
      <alignment horizontal="center" vertical="center"/>
      <protection locked="0"/>
    </xf>
    <xf numFmtId="171" fontId="35" fillId="19" borderId="56" xfId="62" applyNumberFormat="1" applyFont="1" applyFill="1" applyBorder="1" applyAlignment="1" applyProtection="1">
      <alignment horizontal="center" vertical="center"/>
      <protection locked="0"/>
    </xf>
    <xf numFmtId="171" fontId="35" fillId="19" borderId="57" xfId="62" applyNumberFormat="1" applyFont="1" applyFill="1" applyBorder="1" applyAlignment="1" applyProtection="1">
      <alignment horizontal="center" vertical="center"/>
      <protection locked="0"/>
    </xf>
    <xf numFmtId="171" fontId="35" fillId="19" borderId="11" xfId="62" applyNumberFormat="1" applyFont="1" applyFill="1" applyBorder="1" applyAlignment="1" applyProtection="1">
      <alignment horizontal="center" vertical="center"/>
      <protection locked="0"/>
    </xf>
    <xf numFmtId="171" fontId="35" fillId="19" borderId="28" xfId="62" applyNumberFormat="1" applyFont="1" applyFill="1" applyBorder="1" applyAlignment="1" applyProtection="1">
      <alignment horizontal="center" vertical="center"/>
      <protection locked="0"/>
    </xf>
    <xf numFmtId="0" fontId="35" fillId="19" borderId="54" xfId="62" applyFont="1" applyFill="1" applyBorder="1" applyAlignment="1" applyProtection="1">
      <alignment horizontal="center" vertical="center"/>
      <protection locked="0"/>
    </xf>
    <xf numFmtId="0" fontId="35" fillId="19" borderId="13" xfId="62" applyFont="1" applyFill="1" applyBorder="1" applyAlignment="1" applyProtection="1">
      <alignment horizontal="center" vertical="center"/>
      <protection locked="0"/>
    </xf>
    <xf numFmtId="171" fontId="35" fillId="19" borderId="52" xfId="62" applyNumberFormat="1" applyFont="1" applyFill="1" applyBorder="1" applyAlignment="1" applyProtection="1">
      <alignment horizontal="center" vertical="center"/>
      <protection locked="0"/>
    </xf>
    <xf numFmtId="170" fontId="3" fillId="18" borderId="53" xfId="62" applyNumberFormat="1" applyFont="1" applyFill="1" applyBorder="1" applyAlignment="1" applyProtection="1">
      <alignment horizontal="center" vertical="center"/>
      <protection locked="0"/>
    </xf>
    <xf numFmtId="171" fontId="35" fillId="19" borderId="15" xfId="62" applyNumberFormat="1" applyFont="1" applyFill="1" applyBorder="1" applyAlignment="1" applyProtection="1">
      <alignment horizontal="center" vertical="center"/>
      <protection locked="0"/>
    </xf>
    <xf numFmtId="171" fontId="35" fillId="19" borderId="53" xfId="62" applyNumberFormat="1" applyFont="1" applyFill="1" applyBorder="1" applyAlignment="1" applyProtection="1">
      <alignment horizontal="center" vertical="center"/>
      <protection locked="0"/>
    </xf>
    <xf numFmtId="171" fontId="35" fillId="19" borderId="54" xfId="62" applyNumberFormat="1" applyFont="1" applyFill="1" applyBorder="1" applyAlignment="1" applyProtection="1">
      <alignment horizontal="center" vertical="center"/>
      <protection locked="0"/>
    </xf>
    <xf numFmtId="1" fontId="35" fillId="19" borderId="20" xfId="63" applyNumberFormat="1" applyFont="1" applyFill="1" applyBorder="1" applyAlignment="1" applyProtection="1">
      <alignment horizontal="center"/>
      <protection locked="0"/>
    </xf>
    <xf numFmtId="1" fontId="35" fillId="19" borderId="36" xfId="63" applyNumberFormat="1" applyFont="1" applyFill="1" applyBorder="1" applyAlignment="1" applyProtection="1">
      <alignment horizontal="center"/>
      <protection locked="0"/>
    </xf>
    <xf numFmtId="1" fontId="35" fillId="19" borderId="35" xfId="63" applyNumberFormat="1" applyFont="1" applyFill="1" applyBorder="1" applyAlignment="1" applyProtection="1">
      <alignment horizontal="center"/>
      <protection locked="0"/>
    </xf>
    <xf numFmtId="1" fontId="35" fillId="19" borderId="12" xfId="63" applyNumberFormat="1" applyFont="1" applyFill="1" applyBorder="1" applyAlignment="1" applyProtection="1">
      <alignment horizontal="center"/>
      <protection locked="0"/>
    </xf>
    <xf numFmtId="1" fontId="35" fillId="19" borderId="59" xfId="63" applyNumberFormat="1" applyFont="1" applyFill="1" applyBorder="1" applyAlignment="1" applyProtection="1">
      <alignment horizontal="center"/>
      <protection locked="0"/>
    </xf>
    <xf numFmtId="1" fontId="35" fillId="19" borderId="29" xfId="63" applyNumberFormat="1" applyFont="1" applyFill="1" applyBorder="1" applyAlignment="1" applyProtection="1">
      <alignment horizontal="center"/>
      <protection locked="0"/>
    </xf>
    <xf numFmtId="1" fontId="35" fillId="19" borderId="38" xfId="63" applyNumberFormat="1" applyFont="1" applyFill="1" applyBorder="1" applyAlignment="1" applyProtection="1">
      <alignment horizontal="center"/>
      <protection locked="0"/>
    </xf>
    <xf numFmtId="1" fontId="35" fillId="19" borderId="39" xfId="63" applyNumberFormat="1" applyFont="1" applyFill="1" applyBorder="1" applyAlignment="1" applyProtection="1">
      <alignment horizontal="center"/>
      <protection locked="0"/>
    </xf>
    <xf numFmtId="1" fontId="35" fillId="19" borderId="42" xfId="63" applyNumberFormat="1" applyFont="1" applyFill="1" applyBorder="1" applyAlignment="1" applyProtection="1">
      <alignment horizontal="center"/>
      <protection locked="0"/>
    </xf>
    <xf numFmtId="1" fontId="35" fillId="19" borderId="41" xfId="63" applyNumberFormat="1" applyFont="1" applyFill="1" applyBorder="1" applyAlignment="1" applyProtection="1">
      <alignment horizontal="center"/>
      <protection locked="0"/>
    </xf>
    <xf numFmtId="0" fontId="37" fillId="0" borderId="0" xfId="0" applyFont="1" applyProtection="1"/>
    <xf numFmtId="164" fontId="3" fillId="18" borderId="38" xfId="64" applyNumberFormat="1" applyFont="1" applyFill="1" applyBorder="1" applyAlignment="1" applyProtection="1">
      <alignment horizontal="center" vertical="center"/>
    </xf>
    <xf numFmtId="170" fontId="30" fillId="18" borderId="42" xfId="62" applyNumberFormat="1" applyFont="1" applyFill="1" applyBorder="1" applyAlignment="1" applyProtection="1">
      <alignment horizontal="center" vertical="center"/>
    </xf>
    <xf numFmtId="170" fontId="30" fillId="18" borderId="41" xfId="62" applyNumberFormat="1" applyFont="1" applyFill="1" applyBorder="1" applyAlignment="1" applyProtection="1">
      <alignment horizontal="center" vertical="center"/>
    </xf>
    <xf numFmtId="170" fontId="30" fillId="18" borderId="39" xfId="62" applyNumberFormat="1" applyFont="1" applyFill="1" applyBorder="1" applyAlignment="1" applyProtection="1">
      <alignment horizontal="center" vertical="center"/>
    </xf>
    <xf numFmtId="170" fontId="30" fillId="18" borderId="40" xfId="62" applyNumberFormat="1" applyFont="1" applyFill="1" applyBorder="1" applyAlignment="1" applyProtection="1">
      <alignment horizontal="center" vertical="center"/>
    </xf>
    <xf numFmtId="0" fontId="38" fillId="0" borderId="0" xfId="0" applyFont="1" applyProtection="1"/>
    <xf numFmtId="164" fontId="30" fillId="18" borderId="41" xfId="64" applyNumberFormat="1" applyFont="1" applyFill="1" applyBorder="1" applyAlignment="1" applyProtection="1">
      <alignment horizontal="center" vertical="center"/>
    </xf>
    <xf numFmtId="170" fontId="39" fillId="0" borderId="35" xfId="65" applyNumberFormat="1" applyFont="1" applyFill="1" applyBorder="1" applyAlignment="1" applyProtection="1">
      <alignment horizontal="center" vertical="center"/>
    </xf>
    <xf numFmtId="170" fontId="39" fillId="0" borderId="37" xfId="65" applyNumberFormat="1" applyFont="1" applyFill="1" applyBorder="1" applyAlignment="1" applyProtection="1">
      <alignment horizontal="center" vertical="center"/>
    </xf>
    <xf numFmtId="170" fontId="39" fillId="0" borderId="36" xfId="65" applyNumberFormat="1" applyFont="1" applyFill="1" applyBorder="1" applyAlignment="1" applyProtection="1">
      <alignment horizontal="center" vertical="center"/>
    </xf>
    <xf numFmtId="0" fontId="3" fillId="0" borderId="0" xfId="65" applyFont="1" applyFill="1" applyBorder="1" applyAlignment="1" applyProtection="1">
      <alignment horizontal="left" vertical="center"/>
    </xf>
    <xf numFmtId="0" fontId="37" fillId="0" borderId="0" xfId="0" applyFont="1" applyAlignment="1" applyProtection="1">
      <alignment vertical="center"/>
    </xf>
    <xf numFmtId="170" fontId="39" fillId="0" borderId="29" xfId="65" applyNumberFormat="1" applyFont="1" applyFill="1" applyBorder="1" applyAlignment="1" applyProtection="1">
      <alignment horizontal="center" vertical="center"/>
    </xf>
    <xf numFmtId="170" fontId="39" fillId="0" borderId="30" xfId="65" applyNumberFormat="1" applyFont="1" applyFill="1" applyBorder="1" applyAlignment="1" applyProtection="1">
      <alignment horizontal="center" vertical="center"/>
    </xf>
    <xf numFmtId="170" fontId="39" fillId="0" borderId="38" xfId="65" applyNumberFormat="1" applyFont="1" applyFill="1" applyBorder="1" applyAlignment="1" applyProtection="1">
      <alignment horizontal="center" vertical="center"/>
    </xf>
    <xf numFmtId="170" fontId="38" fillId="18" borderId="39" xfId="65" applyNumberFormat="1" applyFont="1" applyFill="1" applyBorder="1" applyAlignment="1" applyProtection="1">
      <alignment horizontal="center" vertical="center"/>
    </xf>
    <xf numFmtId="170" fontId="38" fillId="18" borderId="40" xfId="65" applyNumberFormat="1" applyFont="1" applyFill="1" applyBorder="1" applyAlignment="1" applyProtection="1">
      <alignment horizontal="center" vertical="center"/>
    </xf>
    <xf numFmtId="170" fontId="38" fillId="18" borderId="41" xfId="65" applyNumberFormat="1" applyFont="1" applyFill="1" applyBorder="1" applyAlignment="1" applyProtection="1">
      <alignment horizontal="center" vertical="center"/>
    </xf>
    <xf numFmtId="0" fontId="37" fillId="0" borderId="0" xfId="65" applyFont="1" applyFill="1" applyBorder="1" applyAlignment="1" applyProtection="1">
      <alignment horizontal="center" vertical="center"/>
    </xf>
    <xf numFmtId="1" fontId="3" fillId="0" borderId="0" xfId="63" applyNumberFormat="1" applyFont="1" applyAlignment="1" applyProtection="1">
      <alignment vertical="center"/>
    </xf>
    <xf numFmtId="1" fontId="30" fillId="0" borderId="50" xfId="63" applyNumberFormat="1" applyFont="1" applyBorder="1" applyAlignment="1" applyProtection="1">
      <alignment horizontal="centerContinuous" vertical="center"/>
    </xf>
    <xf numFmtId="1" fontId="30" fillId="0" borderId="51" xfId="63" applyNumberFormat="1" applyFont="1" applyBorder="1" applyAlignment="1" applyProtection="1">
      <alignment horizontal="centerContinuous" vertical="center"/>
    </xf>
    <xf numFmtId="1" fontId="30" fillId="0" borderId="49" xfId="63" applyNumberFormat="1" applyFont="1" applyBorder="1" applyAlignment="1" applyProtection="1">
      <alignment horizontal="centerContinuous" vertical="center"/>
    </xf>
    <xf numFmtId="0" fontId="30" fillId="0" borderId="55" xfId="62" applyFont="1" applyBorder="1" applyAlignment="1" applyProtection="1">
      <alignment horizontal="centerContinuous" vertical="center"/>
    </xf>
    <xf numFmtId="0" fontId="30" fillId="0" borderId="56" xfId="62" applyFont="1" applyBorder="1" applyAlignment="1" applyProtection="1">
      <alignment horizontal="centerContinuous" vertical="center"/>
    </xf>
    <xf numFmtId="0" fontId="30" fillId="0" borderId="57" xfId="62" applyFont="1" applyBorder="1" applyAlignment="1" applyProtection="1">
      <alignment horizontal="centerContinuous" vertical="center"/>
    </xf>
    <xf numFmtId="0" fontId="30" fillId="0" borderId="12" xfId="65" applyFont="1" applyFill="1" applyBorder="1" applyAlignment="1" applyProtection="1">
      <alignment horizontal="center" vertical="center"/>
    </xf>
    <xf numFmtId="0" fontId="30" fillId="0" borderId="30" xfId="65" applyFont="1" applyFill="1" applyBorder="1" applyAlignment="1" applyProtection="1">
      <alignment horizontal="center" vertical="center"/>
    </xf>
    <xf numFmtId="0" fontId="30" fillId="0" borderId="38" xfId="65" applyFont="1" applyFill="1" applyBorder="1" applyAlignment="1" applyProtection="1">
      <alignment horizontal="center" vertical="center"/>
    </xf>
    <xf numFmtId="0" fontId="30" fillId="0" borderId="29" xfId="65" applyFont="1" applyFill="1" applyBorder="1" applyAlignment="1" applyProtection="1">
      <alignment horizontal="center" vertical="center"/>
    </xf>
    <xf numFmtId="0" fontId="30" fillId="0" borderId="29" xfId="62" applyFont="1" applyBorder="1" applyAlignment="1" applyProtection="1">
      <alignment horizontal="center" vertical="center" wrapText="1"/>
    </xf>
    <xf numFmtId="0" fontId="30" fillId="0" borderId="30" xfId="62" applyFont="1" applyBorder="1" applyAlignment="1" applyProtection="1">
      <alignment horizontal="center" vertical="center" wrapText="1"/>
    </xf>
    <xf numFmtId="0" fontId="30" fillId="0" borderId="38" xfId="62" applyFont="1" applyBorder="1" applyAlignment="1" applyProtection="1">
      <alignment horizontal="center" vertical="center" wrapText="1"/>
    </xf>
    <xf numFmtId="0" fontId="3" fillId="0" borderId="47" xfId="62" applyFont="1" applyBorder="1" applyAlignment="1" applyProtection="1">
      <alignment horizontal="center" vertical="center"/>
    </xf>
    <xf numFmtId="0" fontId="3" fillId="0" borderId="19" xfId="62" applyFont="1" applyBorder="1" applyAlignment="1" applyProtection="1">
      <alignment horizontal="center" vertical="center"/>
    </xf>
    <xf numFmtId="0" fontId="3" fillId="0" borderId="48" xfId="62" applyFont="1" applyBorder="1" applyAlignment="1" applyProtection="1">
      <alignment horizontal="center" vertical="center"/>
    </xf>
    <xf numFmtId="0" fontId="3" fillId="0" borderId="47" xfId="62" applyFont="1" applyFill="1" applyBorder="1" applyAlignment="1" applyProtection="1">
      <alignment horizontal="center" vertical="center"/>
    </xf>
    <xf numFmtId="0" fontId="3" fillId="0" borderId="48" xfId="62" applyFont="1" applyFill="1" applyBorder="1" applyAlignment="1" applyProtection="1">
      <alignment horizontal="center" vertical="center"/>
    </xf>
    <xf numFmtId="170" fontId="40" fillId="19" borderId="20" xfId="65" applyNumberFormat="1" applyFont="1" applyFill="1" applyBorder="1" applyAlignment="1" applyProtection="1">
      <alignment horizontal="center" vertical="center"/>
      <protection locked="0"/>
    </xf>
    <xf numFmtId="170" fontId="40" fillId="19" borderId="48" xfId="65" applyNumberFormat="1" applyFont="1" applyFill="1" applyBorder="1" applyAlignment="1" applyProtection="1">
      <alignment horizontal="center" vertical="center"/>
      <protection locked="0"/>
    </xf>
    <xf numFmtId="170" fontId="40" fillId="19" borderId="35" xfId="65" applyNumberFormat="1" applyFont="1" applyFill="1" applyBorder="1" applyAlignment="1" applyProtection="1">
      <alignment horizontal="center" vertical="center"/>
      <protection locked="0"/>
    </xf>
    <xf numFmtId="170" fontId="40" fillId="19" borderId="37" xfId="65" applyNumberFormat="1" applyFont="1" applyFill="1" applyBorder="1" applyAlignment="1" applyProtection="1">
      <alignment horizontal="center" vertical="center"/>
      <protection locked="0"/>
    </xf>
    <xf numFmtId="170" fontId="40" fillId="19" borderId="36" xfId="65" applyNumberFormat="1" applyFont="1" applyFill="1" applyBorder="1" applyAlignment="1" applyProtection="1">
      <alignment horizontal="center" vertical="center"/>
      <protection locked="0"/>
    </xf>
    <xf numFmtId="170" fontId="40" fillId="19" borderId="12" xfId="65" applyNumberFormat="1" applyFont="1" applyFill="1" applyBorder="1" applyAlignment="1" applyProtection="1">
      <alignment horizontal="center" vertical="center"/>
      <protection locked="0"/>
    </xf>
    <xf numFmtId="170" fontId="40" fillId="19" borderId="59" xfId="65" applyNumberFormat="1" applyFont="1" applyFill="1" applyBorder="1" applyAlignment="1" applyProtection="1">
      <alignment horizontal="center" vertical="center"/>
      <protection locked="0"/>
    </xf>
    <xf numFmtId="170" fontId="40" fillId="19" borderId="29" xfId="65" applyNumberFormat="1" applyFont="1" applyFill="1" applyBorder="1" applyAlignment="1" applyProtection="1">
      <alignment horizontal="center" vertical="center"/>
      <protection locked="0"/>
    </xf>
    <xf numFmtId="170" fontId="40" fillId="19" borderId="30" xfId="65" applyNumberFormat="1" applyFont="1" applyFill="1" applyBorder="1" applyAlignment="1" applyProtection="1">
      <alignment horizontal="center" vertical="center"/>
      <protection locked="0"/>
    </xf>
    <xf numFmtId="170" fontId="40" fillId="19" borderId="38" xfId="65" applyNumberFormat="1" applyFont="1" applyFill="1" applyBorder="1" applyAlignment="1" applyProtection="1">
      <alignment horizontal="center" vertical="center"/>
      <protection locked="0"/>
    </xf>
    <xf numFmtId="170" fontId="31" fillId="0" borderId="12" xfId="65" applyNumberFormat="1" applyFont="1" applyFill="1" applyBorder="1" applyAlignment="1" applyProtection="1">
      <alignment horizontal="center" vertical="center"/>
    </xf>
    <xf numFmtId="170" fontId="31" fillId="0" borderId="30" xfId="65" applyNumberFormat="1" applyFont="1" applyFill="1" applyBorder="1" applyAlignment="1" applyProtection="1">
      <alignment horizontal="center" vertical="center"/>
    </xf>
    <xf numFmtId="170" fontId="31" fillId="0" borderId="38" xfId="65" applyNumberFormat="1" applyFont="1" applyFill="1" applyBorder="1" applyAlignment="1" applyProtection="1">
      <alignment horizontal="center" vertical="center"/>
    </xf>
    <xf numFmtId="170" fontId="31" fillId="0" borderId="29" xfId="65" applyNumberFormat="1" applyFont="1" applyFill="1" applyBorder="1" applyAlignment="1" applyProtection="1">
      <alignment horizontal="center" vertical="center"/>
    </xf>
    <xf numFmtId="0" fontId="3" fillId="0" borderId="0" xfId="65" applyFont="1" applyFill="1" applyBorder="1" applyAlignment="1" applyProtection="1">
      <alignment horizontal="left" vertical="center"/>
      <protection locked="0"/>
    </xf>
    <xf numFmtId="170" fontId="40" fillId="19" borderId="15" xfId="65" applyNumberFormat="1" applyFont="1" applyFill="1" applyBorder="1" applyAlignment="1" applyProtection="1">
      <alignment horizontal="center" vertical="center"/>
      <protection locked="0"/>
    </xf>
    <xf numFmtId="170" fontId="40" fillId="19" borderId="54" xfId="65" applyNumberFormat="1" applyFont="1" applyFill="1" applyBorder="1" applyAlignment="1" applyProtection="1">
      <alignment horizontal="center" vertical="center"/>
      <protection locked="0"/>
    </xf>
    <xf numFmtId="170" fontId="40" fillId="19" borderId="53" xfId="65" applyNumberFormat="1" applyFont="1" applyFill="1" applyBorder="1" applyAlignment="1" applyProtection="1">
      <alignment horizontal="center" vertical="center"/>
      <protection locked="0"/>
    </xf>
    <xf numFmtId="170" fontId="40" fillId="19" borderId="52" xfId="65" applyNumberFormat="1" applyFont="1" applyFill="1" applyBorder="1" applyAlignment="1" applyProtection="1">
      <alignment horizontal="center" vertical="center"/>
      <protection locked="0"/>
    </xf>
    <xf numFmtId="170" fontId="30" fillId="18" borderId="60" xfId="65" applyNumberFormat="1" applyFont="1" applyFill="1" applyBorder="1" applyAlignment="1" applyProtection="1">
      <alignment horizontal="center" vertical="center"/>
    </xf>
    <xf numFmtId="170" fontId="30" fillId="18" borderId="61" xfId="65" applyNumberFormat="1" applyFont="1" applyFill="1" applyBorder="1" applyAlignment="1" applyProtection="1">
      <alignment horizontal="center" vertical="center"/>
    </xf>
    <xf numFmtId="170" fontId="30" fillId="18" borderId="62" xfId="65" applyNumberFormat="1" applyFont="1" applyFill="1" applyBorder="1" applyAlignment="1" applyProtection="1">
      <alignment horizontal="center" vertical="center"/>
    </xf>
    <xf numFmtId="170" fontId="30" fillId="18" borderId="63" xfId="65" applyNumberFormat="1" applyFont="1" applyFill="1" applyBorder="1" applyAlignment="1" applyProtection="1">
      <alignment horizontal="center" vertical="center"/>
    </xf>
    <xf numFmtId="170" fontId="30" fillId="18" borderId="42" xfId="65" applyNumberFormat="1" applyFont="1" applyFill="1" applyBorder="1" applyAlignment="1" applyProtection="1">
      <alignment horizontal="center" vertical="center"/>
    </xf>
    <xf numFmtId="170" fontId="30" fillId="18" borderId="40" xfId="65" applyNumberFormat="1" applyFont="1" applyFill="1" applyBorder="1" applyAlignment="1" applyProtection="1">
      <alignment horizontal="center" vertical="center"/>
    </xf>
    <xf numFmtId="170" fontId="30" fillId="18" borderId="41" xfId="65" applyNumberFormat="1" applyFont="1" applyFill="1" applyBorder="1" applyAlignment="1" applyProtection="1">
      <alignment horizontal="center" vertical="center"/>
    </xf>
    <xf numFmtId="170" fontId="30" fillId="18" borderId="39" xfId="65" applyNumberFormat="1" applyFont="1" applyFill="1" applyBorder="1" applyAlignment="1" applyProtection="1">
      <alignment horizontal="center" vertical="center"/>
    </xf>
    <xf numFmtId="164" fontId="3" fillId="18" borderId="38" xfId="66" applyNumberFormat="1" applyFont="1" applyFill="1" applyBorder="1" applyAlignment="1" applyProtection="1">
      <alignment horizontal="center" vertical="center"/>
    </xf>
    <xf numFmtId="170" fontId="31" fillId="18" borderId="12" xfId="65" applyNumberFormat="1" applyFont="1" applyFill="1" applyBorder="1" applyAlignment="1" applyProtection="1">
      <alignment horizontal="center" vertical="center"/>
    </xf>
    <xf numFmtId="170" fontId="31" fillId="18" borderId="59" xfId="65" applyNumberFormat="1" applyFont="1" applyFill="1" applyBorder="1" applyAlignment="1" applyProtection="1">
      <alignment horizontal="center" vertical="center"/>
    </xf>
    <xf numFmtId="170" fontId="31" fillId="18" borderId="29" xfId="65" applyNumberFormat="1" applyFont="1" applyFill="1" applyBorder="1" applyAlignment="1" applyProtection="1">
      <alignment horizontal="center" vertical="center"/>
    </xf>
    <xf numFmtId="170" fontId="3" fillId="18" borderId="42" xfId="65" applyNumberFormat="1" applyFont="1" applyFill="1" applyBorder="1" applyAlignment="1" applyProtection="1">
      <alignment horizontal="center" vertical="center"/>
    </xf>
    <xf numFmtId="170" fontId="3" fillId="18" borderId="64" xfId="65" applyNumberFormat="1" applyFont="1" applyFill="1" applyBorder="1" applyAlignment="1" applyProtection="1">
      <alignment horizontal="center" vertical="center"/>
    </xf>
    <xf numFmtId="170" fontId="3" fillId="18" borderId="39" xfId="65" applyNumberFormat="1" applyFont="1" applyFill="1" applyBorder="1" applyAlignment="1" applyProtection="1">
      <alignment horizontal="center" vertical="center"/>
    </xf>
    <xf numFmtId="164" fontId="3" fillId="18" borderId="41" xfId="66" applyNumberFormat="1" applyFont="1" applyFill="1" applyBorder="1" applyAlignment="1" applyProtection="1">
      <alignment horizontal="center" vertical="center"/>
    </xf>
    <xf numFmtId="1" fontId="3" fillId="0" borderId="45" xfId="63" applyNumberFormat="1" applyFont="1" applyBorder="1" applyAlignment="1" applyProtection="1">
      <alignment vertical="center"/>
    </xf>
    <xf numFmtId="0" fontId="3" fillId="0" borderId="46" xfId="65" applyFont="1" applyFill="1" applyBorder="1" applyAlignment="1" applyProtection="1">
      <alignment horizontal="left" vertical="center"/>
    </xf>
    <xf numFmtId="0" fontId="3" fillId="0" borderId="45" xfId="65" applyFont="1" applyFill="1" applyBorder="1" applyAlignment="1" applyProtection="1">
      <alignment horizontal="left" vertical="center"/>
    </xf>
    <xf numFmtId="1" fontId="3" fillId="0" borderId="46" xfId="63" applyNumberFormat="1" applyFont="1" applyBorder="1" applyAlignment="1" applyProtection="1">
      <alignment vertical="center"/>
    </xf>
    <xf numFmtId="170" fontId="3" fillId="0" borderId="29" xfId="65" applyNumberFormat="1" applyFont="1" applyFill="1" applyBorder="1" applyAlignment="1" applyProtection="1">
      <alignment horizontal="center" vertical="center"/>
      <protection locked="0"/>
    </xf>
    <xf numFmtId="170" fontId="3" fillId="0" borderId="30" xfId="65" applyNumberFormat="1" applyFont="1" applyFill="1" applyBorder="1" applyAlignment="1" applyProtection="1">
      <alignment horizontal="center" vertical="center"/>
      <protection locked="0"/>
    </xf>
    <xf numFmtId="170" fontId="3" fillId="0" borderId="38" xfId="65" applyNumberFormat="1" applyFont="1" applyFill="1" applyBorder="1" applyAlignment="1" applyProtection="1">
      <alignment horizontal="center" vertical="center"/>
      <protection locked="0"/>
    </xf>
    <xf numFmtId="170" fontId="35" fillId="19" borderId="29" xfId="65" applyNumberFormat="1" applyFont="1" applyFill="1" applyBorder="1" applyAlignment="1" applyProtection="1">
      <alignment horizontal="center" vertical="center"/>
      <protection locked="0"/>
    </xf>
    <xf numFmtId="170" fontId="35" fillId="19" borderId="30" xfId="65" applyNumberFormat="1" applyFont="1" applyFill="1" applyBorder="1" applyAlignment="1" applyProtection="1">
      <alignment horizontal="center" vertical="center"/>
      <protection locked="0"/>
    </xf>
    <xf numFmtId="170" fontId="35" fillId="19" borderId="38" xfId="65" applyNumberFormat="1" applyFont="1" applyFill="1" applyBorder="1" applyAlignment="1" applyProtection="1">
      <alignment horizontal="center" vertical="center"/>
      <protection locked="0"/>
    </xf>
    <xf numFmtId="170" fontId="3" fillId="0" borderId="29" xfId="62" applyNumberFormat="1" applyFont="1" applyFill="1" applyBorder="1" applyAlignment="1" applyProtection="1">
      <alignment horizontal="center" vertical="center"/>
    </xf>
    <xf numFmtId="170" fontId="3" fillId="0" borderId="30" xfId="62" applyNumberFormat="1" applyFont="1" applyFill="1" applyBorder="1" applyAlignment="1" applyProtection="1">
      <alignment horizontal="center" vertical="center"/>
    </xf>
    <xf numFmtId="170" fontId="3" fillId="0" borderId="38" xfId="62" applyNumberFormat="1" applyFont="1" applyFill="1" applyBorder="1" applyAlignment="1" applyProtection="1">
      <alignment horizontal="center" vertical="center"/>
    </xf>
    <xf numFmtId="0" fontId="37" fillId="0" borderId="0" xfId="0" applyFont="1" applyFill="1" applyAlignment="1" applyProtection="1">
      <alignment vertical="center"/>
    </xf>
    <xf numFmtId="164" fontId="3" fillId="0" borderId="38" xfId="66" applyNumberFormat="1" applyFont="1" applyFill="1" applyBorder="1" applyAlignment="1" applyProtection="1">
      <alignment horizontal="center" vertical="center"/>
    </xf>
    <xf numFmtId="170" fontId="35" fillId="19" borderId="39" xfId="65" applyNumberFormat="1" applyFont="1" applyFill="1" applyBorder="1" applyAlignment="1" applyProtection="1">
      <alignment horizontal="center" vertical="center"/>
      <protection locked="0"/>
    </xf>
    <xf numFmtId="170" fontId="35" fillId="19" borderId="40" xfId="65" applyNumberFormat="1" applyFont="1" applyFill="1" applyBorder="1" applyAlignment="1" applyProtection="1">
      <alignment horizontal="center" vertical="center"/>
      <protection locked="0"/>
    </xf>
    <xf numFmtId="170" fontId="35" fillId="19" borderId="41" xfId="65" applyNumberFormat="1" applyFont="1" applyFill="1" applyBorder="1" applyAlignment="1" applyProtection="1">
      <alignment horizontal="center" vertical="center"/>
      <protection locked="0"/>
    </xf>
    <xf numFmtId="173" fontId="32" fillId="0" borderId="27" xfId="67" applyNumberFormat="1" applyFont="1" applyBorder="1"/>
    <xf numFmtId="174" fontId="32" fillId="21" borderId="37" xfId="67" applyNumberFormat="1" applyFont="1" applyFill="1" applyBorder="1"/>
    <xf numFmtId="174" fontId="32" fillId="0" borderId="37" xfId="67" applyNumberFormat="1" applyFont="1" applyBorder="1"/>
    <xf numFmtId="175" fontId="34" fillId="19" borderId="25" xfId="0" applyNumberFormat="1" applyFont="1" applyFill="1" applyBorder="1" applyAlignment="1" applyProtection="1">
      <alignment vertical="center"/>
      <protection locked="0"/>
    </xf>
    <xf numFmtId="175" fontId="32" fillId="0" borderId="46" xfId="0" applyNumberFormat="1" applyFont="1" applyFill="1" applyBorder="1" applyAlignment="1" applyProtection="1">
      <alignment vertical="center"/>
    </xf>
    <xf numFmtId="175" fontId="34" fillId="19" borderId="65" xfId="0" applyNumberFormat="1" applyFont="1" applyFill="1" applyBorder="1" applyAlignment="1" applyProtection="1">
      <alignment vertical="center"/>
      <protection locked="0"/>
    </xf>
    <xf numFmtId="175" fontId="32" fillId="0" borderId="25" xfId="0" applyNumberFormat="1" applyFont="1" applyFill="1" applyBorder="1" applyAlignment="1" applyProtection="1">
      <alignment vertical="center"/>
    </xf>
    <xf numFmtId="175" fontId="34" fillId="0" borderId="46" xfId="0" applyNumberFormat="1" applyFont="1" applyFill="1" applyBorder="1" applyAlignment="1" applyProtection="1">
      <alignment vertical="center"/>
    </xf>
    <xf numFmtId="175" fontId="32" fillId="0" borderId="66" xfId="0" applyNumberFormat="1" applyFont="1" applyFill="1" applyBorder="1" applyAlignment="1" applyProtection="1">
      <alignment vertical="center"/>
    </xf>
    <xf numFmtId="175" fontId="33" fillId="22" borderId="67" xfId="0" applyNumberFormat="1" applyFont="1" applyFill="1" applyBorder="1" applyAlignment="1" applyProtection="1">
      <alignment vertical="center"/>
    </xf>
    <xf numFmtId="175" fontId="40" fillId="19" borderId="25" xfId="0" applyNumberFormat="1" applyFont="1" applyFill="1" applyBorder="1" applyAlignment="1" applyProtection="1">
      <alignment vertical="center"/>
      <protection locked="0"/>
    </xf>
    <xf numFmtId="175" fontId="42" fillId="22" borderId="68" xfId="0" applyNumberFormat="1" applyFont="1" applyFill="1" applyBorder="1" applyAlignment="1" applyProtection="1">
      <alignment vertical="center"/>
      <protection locked="0"/>
    </xf>
    <xf numFmtId="175" fontId="40" fillId="19" borderId="16" xfId="0" applyNumberFormat="1" applyFont="1" applyFill="1" applyBorder="1" applyAlignment="1" applyProtection="1">
      <alignment horizontal="right" vertical="center"/>
      <protection locked="0"/>
    </xf>
    <xf numFmtId="175" fontId="31" fillId="22" borderId="27" xfId="68" applyNumberFormat="1" applyFont="1" applyFill="1" applyBorder="1" applyAlignment="1">
      <alignment vertical="center"/>
    </xf>
    <xf numFmtId="175" fontId="31" fillId="22" borderId="69" xfId="68" applyNumberFormat="1" applyFont="1" applyFill="1" applyBorder="1" applyAlignment="1">
      <alignment vertical="center"/>
    </xf>
    <xf numFmtId="176" fontId="44" fillId="19" borderId="70" xfId="0" applyNumberFormat="1" applyFont="1" applyFill="1" applyBorder="1" applyAlignment="1" applyProtection="1">
      <alignment horizontal="left" vertical="center"/>
      <protection locked="0"/>
    </xf>
    <xf numFmtId="176" fontId="44" fillId="19" borderId="25" xfId="0" applyNumberFormat="1" applyFont="1" applyFill="1" applyBorder="1" applyAlignment="1" applyProtection="1">
      <alignment horizontal="left" vertical="center"/>
      <protection locked="0"/>
    </xf>
    <xf numFmtId="175" fontId="34" fillId="19" borderId="16" xfId="0" applyNumberFormat="1" applyFont="1" applyFill="1" applyBorder="1" applyAlignment="1" applyProtection="1">
      <alignment horizontal="right" vertical="center"/>
      <protection locked="0"/>
    </xf>
    <xf numFmtId="175" fontId="32" fillId="22" borderId="27" xfId="68" applyNumberFormat="1" applyFont="1" applyFill="1" applyBorder="1" applyAlignment="1">
      <alignment vertical="center"/>
    </xf>
    <xf numFmtId="175" fontId="32" fillId="22" borderId="69" xfId="68" applyNumberFormat="1" applyFont="1" applyFill="1" applyBorder="1" applyAlignment="1">
      <alignment vertical="center"/>
    </xf>
    <xf numFmtId="176" fontId="44" fillId="19" borderId="31" xfId="0" applyNumberFormat="1" applyFont="1" applyFill="1" applyBorder="1" applyAlignment="1" applyProtection="1">
      <alignment horizontal="left" vertical="center"/>
      <protection locked="0"/>
    </xf>
    <xf numFmtId="175" fontId="33" fillId="22" borderId="71" xfId="0" applyNumberFormat="1" applyFont="1" applyFill="1" applyBorder="1" applyAlignment="1" applyProtection="1">
      <alignment vertical="center"/>
    </xf>
    <xf numFmtId="0" fontId="32" fillId="0" borderId="0" xfId="0" applyFont="1" applyFill="1" applyBorder="1" applyAlignment="1">
      <alignment vertical="center"/>
    </xf>
    <xf numFmtId="0" fontId="32" fillId="0" borderId="0" xfId="0" applyFont="1" applyBorder="1" applyAlignment="1">
      <alignment vertical="center"/>
    </xf>
    <xf numFmtId="0" fontId="45" fillId="0" borderId="0" xfId="0" applyFont="1" applyFill="1" applyBorder="1" applyAlignment="1">
      <alignment horizontal="center" vertical="center"/>
    </xf>
    <xf numFmtId="175" fontId="32" fillId="22" borderId="21" xfId="0" applyNumberFormat="1" applyFont="1" applyFill="1" applyBorder="1" applyAlignment="1" applyProtection="1">
      <alignment vertical="center"/>
    </xf>
    <xf numFmtId="175" fontId="34" fillId="19" borderId="22" xfId="0" applyNumberFormat="1" applyFont="1" applyFill="1" applyBorder="1" applyAlignment="1" applyProtection="1">
      <alignment vertical="center"/>
      <protection locked="0"/>
    </xf>
    <xf numFmtId="175" fontId="34" fillId="19" borderId="72" xfId="0" applyNumberFormat="1" applyFont="1" applyFill="1" applyBorder="1" applyAlignment="1" applyProtection="1">
      <alignment vertical="center"/>
      <protection locked="0"/>
    </xf>
    <xf numFmtId="175" fontId="34" fillId="19" borderId="73" xfId="0" applyNumberFormat="1" applyFont="1" applyFill="1" applyBorder="1" applyAlignment="1" applyProtection="1">
      <alignment vertical="center"/>
      <protection locked="0"/>
    </xf>
    <xf numFmtId="175" fontId="32" fillId="22" borderId="31" xfId="0" applyNumberFormat="1" applyFont="1" applyFill="1" applyBorder="1" applyAlignment="1" applyProtection="1">
      <alignment vertical="center"/>
    </xf>
    <xf numFmtId="175" fontId="34" fillId="19" borderId="32" xfId="0" applyNumberFormat="1" applyFont="1" applyFill="1" applyBorder="1" applyAlignment="1" applyProtection="1">
      <alignment vertical="center"/>
      <protection locked="0"/>
    </xf>
    <xf numFmtId="175" fontId="34" fillId="19" borderId="74" xfId="0" applyNumberFormat="1" applyFont="1" applyFill="1" applyBorder="1" applyAlignment="1" applyProtection="1">
      <alignment vertical="center"/>
      <protection locked="0"/>
    </xf>
    <xf numFmtId="175" fontId="34" fillId="19" borderId="75" xfId="0" applyNumberFormat="1" applyFont="1" applyFill="1" applyBorder="1" applyAlignment="1" applyProtection="1">
      <alignment vertical="center"/>
      <protection locked="0"/>
    </xf>
    <xf numFmtId="175" fontId="31" fillId="22" borderId="25" xfId="0" applyNumberFormat="1" applyFont="1" applyFill="1" applyBorder="1" applyAlignment="1" applyProtection="1">
      <alignment vertical="center"/>
    </xf>
    <xf numFmtId="175" fontId="40" fillId="19" borderId="26" xfId="0" applyNumberFormat="1" applyFont="1" applyFill="1" applyBorder="1" applyAlignment="1" applyProtection="1">
      <alignment vertical="center"/>
      <protection locked="0"/>
    </xf>
    <xf numFmtId="175" fontId="40" fillId="19" borderId="17" xfId="0" applyNumberFormat="1" applyFont="1" applyFill="1" applyBorder="1" applyAlignment="1" applyProtection="1">
      <alignment vertical="center"/>
      <protection locked="0"/>
    </xf>
    <xf numFmtId="175" fontId="34" fillId="19" borderId="27" xfId="0" applyNumberFormat="1" applyFont="1" applyFill="1" applyBorder="1" applyAlignment="1" applyProtection="1">
      <alignment vertical="center"/>
      <protection locked="0"/>
    </xf>
    <xf numFmtId="175" fontId="34" fillId="19" borderId="46" xfId="0" applyNumberFormat="1" applyFont="1" applyFill="1" applyBorder="1" applyAlignment="1" applyProtection="1">
      <alignment vertical="center"/>
      <protection locked="0"/>
    </xf>
    <xf numFmtId="175" fontId="32" fillId="22" borderId="25" xfId="0" applyNumberFormat="1" applyFont="1" applyFill="1" applyBorder="1" applyAlignment="1" applyProtection="1">
      <alignment vertical="center"/>
    </xf>
    <xf numFmtId="175" fontId="34" fillId="19" borderId="26" xfId="0" applyNumberFormat="1" applyFont="1" applyFill="1" applyBorder="1" applyAlignment="1" applyProtection="1">
      <alignment vertical="center"/>
      <protection locked="0"/>
    </xf>
    <xf numFmtId="175" fontId="34" fillId="19" borderId="17" xfId="0" applyNumberFormat="1" applyFont="1" applyFill="1" applyBorder="1" applyAlignment="1" applyProtection="1">
      <alignment vertical="center"/>
      <protection locked="0"/>
    </xf>
    <xf numFmtId="175" fontId="34" fillId="19" borderId="35" xfId="0" applyNumberFormat="1" applyFont="1" applyFill="1" applyBorder="1" applyAlignment="1" applyProtection="1">
      <alignment vertical="center"/>
      <protection locked="0"/>
    </xf>
    <xf numFmtId="175" fontId="34" fillId="19" borderId="20" xfId="0" applyNumberFormat="1" applyFont="1" applyFill="1" applyBorder="1" applyAlignment="1" applyProtection="1">
      <alignment vertical="center"/>
      <protection locked="0"/>
    </xf>
    <xf numFmtId="175" fontId="34" fillId="19" borderId="37" xfId="0" applyNumberFormat="1" applyFont="1" applyFill="1" applyBorder="1" applyAlignment="1" applyProtection="1">
      <alignment vertical="center"/>
      <protection locked="0"/>
    </xf>
    <xf numFmtId="175" fontId="34" fillId="19" borderId="48" xfId="0" applyNumberFormat="1" applyFont="1" applyFill="1" applyBorder="1" applyAlignment="1" applyProtection="1">
      <alignment vertical="center"/>
      <protection locked="0"/>
    </xf>
    <xf numFmtId="0" fontId="31" fillId="9" borderId="29" xfId="65" applyFont="1" applyFill="1" applyBorder="1" applyAlignment="1" applyProtection="1">
      <alignment horizontal="center" vertical="center"/>
    </xf>
    <xf numFmtId="0" fontId="31" fillId="9" borderId="30" xfId="65" applyFont="1" applyFill="1" applyBorder="1" applyAlignment="1" applyProtection="1">
      <alignment horizontal="center" vertical="center"/>
    </xf>
    <xf numFmtId="177" fontId="40" fillId="19" borderId="30" xfId="2" applyNumberFormat="1" applyFont="1" applyFill="1" applyBorder="1" applyAlignment="1" applyProtection="1">
      <alignment horizontal="center" vertical="center"/>
      <protection locked="0"/>
    </xf>
    <xf numFmtId="0" fontId="40" fillId="19" borderId="38" xfId="65" applyFont="1" applyFill="1" applyBorder="1" applyAlignment="1" applyProtection="1">
      <alignment horizontal="center" vertical="center"/>
      <protection locked="0"/>
    </xf>
    <xf numFmtId="1" fontId="42" fillId="0" borderId="76" xfId="61" applyNumberFormat="1" applyFont="1" applyBorder="1" applyProtection="1"/>
    <xf numFmtId="1" fontId="42" fillId="0" borderId="77" xfId="61" applyNumberFormat="1" applyFont="1" applyBorder="1" applyProtection="1"/>
    <xf numFmtId="177" fontId="42" fillId="0" borderId="77" xfId="2" applyNumberFormat="1" applyFont="1" applyBorder="1" applyProtection="1"/>
    <xf numFmtId="1" fontId="42" fillId="0" borderId="78" xfId="61" applyNumberFormat="1" applyFont="1" applyBorder="1" applyProtection="1"/>
    <xf numFmtId="0" fontId="31" fillId="0" borderId="45" xfId="65" applyFont="1" applyFill="1" applyBorder="1" applyAlignment="1" applyProtection="1">
      <alignment horizontal="center" vertical="center"/>
    </xf>
    <xf numFmtId="0" fontId="31" fillId="0" borderId="0" xfId="65" applyFont="1" applyFill="1" applyBorder="1" applyAlignment="1" applyProtection="1">
      <alignment horizontal="center" vertical="center"/>
    </xf>
    <xf numFmtId="177" fontId="31" fillId="0" borderId="0" xfId="2" applyNumberFormat="1" applyFont="1" applyFill="1" applyBorder="1" applyAlignment="1" applyProtection="1">
      <alignment horizontal="center" vertical="center"/>
    </xf>
    <xf numFmtId="0" fontId="46" fillId="0" borderId="0" xfId="0" applyFont="1" applyBorder="1"/>
    <xf numFmtId="0" fontId="46" fillId="0" borderId="46" xfId="0" applyFont="1" applyBorder="1"/>
    <xf numFmtId="0" fontId="31" fillId="0" borderId="46" xfId="65" applyFont="1" applyFill="1" applyBorder="1" applyAlignment="1" applyProtection="1">
      <alignment horizontal="center" vertical="center"/>
    </xf>
    <xf numFmtId="172" fontId="32" fillId="22" borderId="63" xfId="0" applyNumberFormat="1" applyFont="1" applyFill="1" applyBorder="1" applyAlignment="1" applyProtection="1">
      <alignment horizontal="right"/>
    </xf>
    <xf numFmtId="172" fontId="32" fillId="22" borderId="60" xfId="0" applyNumberFormat="1" applyFont="1" applyFill="1" applyBorder="1" applyAlignment="1" applyProtection="1">
      <alignment horizontal="right"/>
    </xf>
    <xf numFmtId="177" fontId="32" fillId="22" borderId="60" xfId="2" applyNumberFormat="1" applyFont="1" applyFill="1" applyBorder="1" applyAlignment="1" applyProtection="1">
      <alignment horizontal="right"/>
    </xf>
    <xf numFmtId="172" fontId="32" fillId="22" borderId="67" xfId="0" applyNumberFormat="1" applyFont="1" applyFill="1" applyBorder="1" applyAlignment="1" applyProtection="1">
      <alignment horizontal="right"/>
    </xf>
    <xf numFmtId="0" fontId="0" fillId="0" borderId="45" xfId="0" applyBorder="1" applyAlignment="1"/>
    <xf numFmtId="0" fontId="0" fillId="0" borderId="0" xfId="0" applyBorder="1" applyAlignment="1"/>
    <xf numFmtId="177" fontId="0" fillId="0" borderId="0" xfId="2" applyNumberFormat="1" applyFont="1" applyBorder="1" applyAlignment="1"/>
    <xf numFmtId="0" fontId="0" fillId="0" borderId="46" xfId="0" applyBorder="1" applyAlignment="1"/>
    <xf numFmtId="177" fontId="31" fillId="0" borderId="30" xfId="2" applyNumberFormat="1" applyFont="1" applyFill="1" applyBorder="1" applyAlignment="1" applyProtection="1">
      <alignment horizontal="right" vertical="center"/>
    </xf>
    <xf numFmtId="164" fontId="31" fillId="0" borderId="38" xfId="65" applyNumberFormat="1" applyFont="1" applyFill="1" applyBorder="1" applyAlignment="1" applyProtection="1">
      <alignment horizontal="right" vertical="center"/>
    </xf>
    <xf numFmtId="177" fontId="0" fillId="0" borderId="30" xfId="2" applyNumberFormat="1" applyFont="1" applyBorder="1" applyAlignment="1"/>
    <xf numFmtId="0" fontId="0" fillId="0" borderId="38" xfId="0" applyBorder="1" applyAlignment="1"/>
    <xf numFmtId="0" fontId="0" fillId="0" borderId="29" xfId="0" applyBorder="1" applyAlignment="1"/>
    <xf numFmtId="0" fontId="0" fillId="0" borderId="30" xfId="0" applyBorder="1" applyAlignment="1"/>
    <xf numFmtId="171" fontId="27" fillId="23" borderId="0" xfId="2" applyNumberFormat="1" applyFont="1" applyFill="1"/>
    <xf numFmtId="171" fontId="27" fillId="0" borderId="19" xfId="2" applyNumberFormat="1" applyFont="1" applyBorder="1"/>
    <xf numFmtId="171" fontId="27" fillId="11" borderId="0" xfId="2" applyNumberFormat="1" applyFont="1" applyFill="1" applyBorder="1"/>
    <xf numFmtId="171" fontId="27" fillId="0" borderId="0" xfId="2" applyNumberFormat="1" applyFont="1"/>
    <xf numFmtId="171" fontId="27" fillId="11" borderId="11" xfId="2" applyNumberFormat="1" applyFont="1" applyFill="1" applyBorder="1"/>
    <xf numFmtId="171" fontId="27" fillId="0" borderId="0" xfId="0" applyNumberFormat="1" applyFont="1"/>
    <xf numFmtId="171" fontId="27" fillId="24" borderId="0" xfId="2" applyNumberFormat="1" applyFont="1" applyFill="1"/>
    <xf numFmtId="171" fontId="27" fillId="11" borderId="11" xfId="0" applyNumberFormat="1" applyFont="1" applyFill="1" applyBorder="1"/>
    <xf numFmtId="171" fontId="27" fillId="23" borderId="0" xfId="0" applyNumberFormat="1" applyFont="1" applyFill="1"/>
    <xf numFmtId="0" fontId="27" fillId="0" borderId="0" xfId="0" applyFont="1"/>
    <xf numFmtId="0" fontId="27" fillId="0" borderId="0" xfId="0" applyFont="1" applyBorder="1"/>
    <xf numFmtId="0" fontId="47" fillId="0" borderId="0" xfId="0" applyFont="1"/>
    <xf numFmtId="0" fontId="48" fillId="0" borderId="0" xfId="0" applyFont="1"/>
    <xf numFmtId="0" fontId="49" fillId="0" borderId="0" xfId="0" applyFont="1" applyAlignment="1">
      <alignment horizontal="center"/>
    </xf>
    <xf numFmtId="0" fontId="50" fillId="0" borderId="0" xfId="0" applyFont="1"/>
    <xf numFmtId="43" fontId="3" fillId="0" borderId="27" xfId="2" applyFont="1" applyBorder="1"/>
    <xf numFmtId="43" fontId="3" fillId="0" borderId="17" xfId="2" applyFont="1" applyBorder="1"/>
    <xf numFmtId="43" fontId="0" fillId="0" borderId="17" xfId="2" applyFont="1" applyBorder="1"/>
    <xf numFmtId="43" fontId="3" fillId="0" borderId="37" xfId="2" applyFont="1" applyBorder="1"/>
    <xf numFmtId="43" fontId="3" fillId="0" borderId="20" xfId="2" applyFont="1" applyBorder="1"/>
    <xf numFmtId="43" fontId="0" fillId="0" borderId="37" xfId="2" applyFont="1" applyBorder="1"/>
    <xf numFmtId="178" fontId="22" fillId="0" borderId="0" xfId="0" applyNumberFormat="1" applyFont="1" applyAlignment="1"/>
    <xf numFmtId="0" fontId="52" fillId="0" borderId="0" xfId="0" applyFont="1"/>
    <xf numFmtId="0" fontId="53" fillId="0" borderId="0" xfId="69" applyFont="1" applyAlignment="1" applyProtection="1"/>
    <xf numFmtId="0" fontId="30" fillId="0" borderId="0" xfId="0" applyFont="1"/>
    <xf numFmtId="0" fontId="3" fillId="0" borderId="0" xfId="0" applyFont="1"/>
    <xf numFmtId="166" fontId="22" fillId="0" borderId="0" xfId="2" applyNumberFormat="1" applyFont="1" applyAlignment="1"/>
    <xf numFmtId="1" fontId="33" fillId="0" borderId="21" xfId="61" applyNumberFormat="1" applyFont="1" applyBorder="1" applyAlignment="1" applyProtection="1">
      <alignment horizontal="center" vertical="center" wrapText="1"/>
    </xf>
    <xf numFmtId="1" fontId="33" fillId="0" borderId="46" xfId="61" applyNumberFormat="1" applyFont="1" applyBorder="1" applyAlignment="1" applyProtection="1">
      <alignment horizontal="center" vertical="center" wrapText="1"/>
    </xf>
    <xf numFmtId="166" fontId="33" fillId="0" borderId="21" xfId="2" applyNumberFormat="1" applyFont="1" applyBorder="1" applyAlignment="1" applyProtection="1">
      <alignment horizontal="center" vertical="center" wrapText="1"/>
    </xf>
    <xf numFmtId="0" fontId="30" fillId="0" borderId="42" xfId="62" applyFont="1" applyBorder="1" applyAlignment="1" applyProtection="1">
      <alignment horizontal="center" vertical="center" wrapText="1"/>
    </xf>
    <xf numFmtId="0" fontId="30" fillId="0" borderId="40" xfId="62" applyFont="1" applyBorder="1" applyAlignment="1" applyProtection="1">
      <alignment horizontal="center" vertical="center" wrapText="1"/>
    </xf>
    <xf numFmtId="0" fontId="30" fillId="0" borderId="39" xfId="62" applyFont="1" applyBorder="1" applyAlignment="1" applyProtection="1">
      <alignment horizontal="center" vertical="center" wrapText="1"/>
    </xf>
    <xf numFmtId="0" fontId="30" fillId="0" borderId="83" xfId="62" applyFont="1" applyBorder="1" applyAlignment="1" applyProtection="1">
      <alignment horizontal="center" vertical="center" wrapText="1"/>
    </xf>
    <xf numFmtId="0" fontId="30" fillId="0" borderId="28" xfId="62" applyFont="1" applyBorder="1" applyAlignment="1" applyProtection="1">
      <alignment horizontal="center" vertical="center" wrapText="1"/>
    </xf>
    <xf numFmtId="0" fontId="30" fillId="0" borderId="41" xfId="62" applyFont="1" applyBorder="1" applyAlignment="1" applyProtection="1">
      <alignment horizontal="center" vertical="center" wrapText="1"/>
    </xf>
    <xf numFmtId="0" fontId="30" fillId="0" borderId="59" xfId="62" applyFont="1" applyBorder="1" applyAlignment="1" applyProtection="1">
      <alignment horizontal="center" vertical="center" wrapText="1"/>
    </xf>
    <xf numFmtId="166" fontId="30" fillId="0" borderId="28" xfId="2" applyNumberFormat="1" applyFont="1" applyBorder="1" applyAlignment="1" applyProtection="1">
      <alignment horizontal="center" vertical="center" wrapText="1"/>
    </xf>
    <xf numFmtId="1" fontId="32" fillId="0" borderId="45" xfId="61" applyNumberFormat="1" applyFont="1" applyFill="1" applyBorder="1" applyProtection="1"/>
    <xf numFmtId="0" fontId="33" fillId="0" borderId="0" xfId="61" applyFont="1" applyBorder="1" applyAlignment="1" applyProtection="1"/>
    <xf numFmtId="0" fontId="32" fillId="0" borderId="0" xfId="61" applyFont="1" applyBorder="1" applyProtection="1"/>
    <xf numFmtId="166" fontId="32" fillId="0" borderId="21" xfId="2" applyNumberFormat="1" applyFont="1" applyFill="1" applyBorder="1" applyAlignment="1" applyProtection="1">
      <alignment horizontal="center"/>
    </xf>
    <xf numFmtId="0" fontId="33" fillId="0" borderId="0" xfId="61" applyFont="1" applyBorder="1" applyProtection="1"/>
    <xf numFmtId="166" fontId="32" fillId="0" borderId="25" xfId="2" applyNumberFormat="1" applyFont="1" applyFill="1" applyBorder="1" applyAlignment="1" applyProtection="1">
      <alignment horizontal="center"/>
    </xf>
    <xf numFmtId="0" fontId="32" fillId="0" borderId="45" xfId="61" applyFont="1" applyBorder="1" applyProtection="1"/>
    <xf numFmtId="166" fontId="34" fillId="19" borderId="28" xfId="2" applyNumberFormat="1" applyFont="1" applyFill="1" applyBorder="1" applyAlignment="1" applyProtection="1">
      <alignment horizontal="center"/>
      <protection locked="0"/>
    </xf>
    <xf numFmtId="166" fontId="32" fillId="0" borderId="25" xfId="2" applyNumberFormat="1" applyFont="1" applyFill="1" applyBorder="1" applyAlignment="1" applyProtection="1">
      <alignment horizontal="center"/>
      <protection locked="0"/>
    </xf>
    <xf numFmtId="1" fontId="33" fillId="0" borderId="76" xfId="61" applyNumberFormat="1" applyFont="1" applyBorder="1" applyProtection="1"/>
    <xf numFmtId="1" fontId="33" fillId="0" borderId="77" xfId="61" applyNumberFormat="1" applyFont="1" applyBorder="1" applyProtection="1"/>
    <xf numFmtId="166" fontId="34" fillId="0" borderId="31" xfId="2" applyNumberFormat="1" applyFont="1" applyFill="1" applyBorder="1" applyAlignment="1" applyProtection="1">
      <alignment horizontal="center"/>
      <protection locked="0"/>
    </xf>
    <xf numFmtId="0" fontId="32" fillId="0" borderId="79" xfId="61" applyFont="1" applyBorder="1" applyProtection="1"/>
    <xf numFmtId="0" fontId="33" fillId="0" borderId="80" xfId="61" applyFont="1" applyBorder="1" applyAlignment="1" applyProtection="1"/>
    <xf numFmtId="0" fontId="32" fillId="0" borderId="0" xfId="70" applyFont="1" applyAlignment="1" applyProtection="1"/>
    <xf numFmtId="166" fontId="32" fillId="0" borderId="21" xfId="2" applyNumberFormat="1" applyFont="1" applyFill="1" applyBorder="1" applyAlignment="1" applyProtection="1">
      <alignment horizontal="center"/>
      <protection locked="0"/>
    </xf>
    <xf numFmtId="166" fontId="34" fillId="0" borderId="31" xfId="2" applyNumberFormat="1" applyFont="1" applyFill="1" applyBorder="1" applyAlignment="1" applyProtection="1">
      <alignment horizontal="center"/>
    </xf>
    <xf numFmtId="0" fontId="3" fillId="0" borderId="0" xfId="62" applyAlignment="1" applyProtection="1">
      <alignment vertical="center"/>
    </xf>
    <xf numFmtId="0" fontId="30" fillId="0" borderId="0" xfId="62" applyFont="1" applyAlignment="1" applyProtection="1">
      <alignment vertical="center"/>
    </xf>
    <xf numFmtId="0" fontId="3" fillId="0" borderId="0" xfId="62" applyAlignment="1" applyProtection="1">
      <alignment horizontal="center" vertical="center"/>
    </xf>
    <xf numFmtId="0" fontId="0" fillId="0" borderId="0" xfId="0" applyAlignment="1">
      <alignment vertical="center"/>
    </xf>
    <xf numFmtId="0" fontId="3" fillId="0" borderId="0" xfId="62" applyProtection="1"/>
    <xf numFmtId="0" fontId="3" fillId="0" borderId="0" xfId="62" applyAlignment="1" applyProtection="1">
      <alignment horizontal="center"/>
    </xf>
    <xf numFmtId="0" fontId="0" fillId="0" borderId="0" xfId="0" applyProtection="1"/>
    <xf numFmtId="0" fontId="30" fillId="0" borderId="49" xfId="62" applyFont="1" applyBorder="1" applyAlignment="1" applyProtection="1">
      <alignment horizontal="centerContinuous" vertical="center"/>
    </xf>
    <xf numFmtId="0" fontId="30" fillId="0" borderId="50" xfId="62" applyFont="1" applyBorder="1" applyAlignment="1" applyProtection="1">
      <alignment horizontal="centerContinuous" vertical="center"/>
    </xf>
    <xf numFmtId="0" fontId="3" fillId="0" borderId="51" xfId="62" applyBorder="1" applyAlignment="1" applyProtection="1">
      <alignment horizontal="centerContinuous" vertical="center"/>
    </xf>
    <xf numFmtId="0" fontId="3" fillId="0" borderId="50" xfId="62" applyBorder="1" applyAlignment="1" applyProtection="1">
      <alignment horizontal="centerContinuous" vertical="center"/>
    </xf>
    <xf numFmtId="0" fontId="30" fillId="0" borderId="35" xfId="62" applyFont="1" applyBorder="1" applyAlignment="1" applyProtection="1">
      <alignment horizontal="center" vertical="center" wrapText="1"/>
    </xf>
    <xf numFmtId="0" fontId="30" fillId="0" borderId="37" xfId="62" applyFont="1" applyBorder="1" applyAlignment="1" applyProtection="1">
      <alignment horizontal="center" vertical="center" wrapText="1"/>
    </xf>
    <xf numFmtId="0" fontId="30" fillId="0" borderId="36" xfId="62" applyFont="1" applyBorder="1" applyAlignment="1" applyProtection="1">
      <alignment horizontal="center" vertical="center" wrapText="1"/>
    </xf>
    <xf numFmtId="0" fontId="30" fillId="0" borderId="20" xfId="62" applyFont="1" applyBorder="1" applyAlignment="1" applyProtection="1">
      <alignment horizontal="center" vertical="center" wrapText="1"/>
    </xf>
    <xf numFmtId="0" fontId="3" fillId="0" borderId="45" xfId="62" applyBorder="1" applyAlignment="1" applyProtection="1">
      <alignment vertical="center"/>
    </xf>
    <xf numFmtId="0" fontId="3" fillId="0" borderId="69" xfId="62" applyNumberFormat="1" applyFont="1" applyBorder="1" applyAlignment="1" applyProtection="1">
      <alignment horizontal="center" vertical="center" wrapText="1"/>
    </xf>
    <xf numFmtId="0" fontId="3" fillId="0" borderId="76" xfId="62" applyBorder="1" applyAlignment="1" applyProtection="1">
      <alignment vertical="center"/>
    </xf>
    <xf numFmtId="0" fontId="3" fillId="0" borderId="75" xfId="62" applyNumberFormat="1" applyFont="1" applyBorder="1" applyAlignment="1" applyProtection="1">
      <alignment horizontal="center" vertical="center" wrapText="1"/>
    </xf>
    <xf numFmtId="0" fontId="30" fillId="0" borderId="0" xfId="62" applyFont="1" applyProtection="1"/>
    <xf numFmtId="0" fontId="30" fillId="0" borderId="26" xfId="62" applyFont="1" applyBorder="1" applyAlignment="1" applyProtection="1">
      <alignment horizontal="left" indent="1"/>
    </xf>
    <xf numFmtId="0" fontId="3" fillId="0" borderId="69" xfId="62" applyFill="1" applyBorder="1" applyAlignment="1" applyProtection="1">
      <alignment horizontal="center"/>
    </xf>
    <xf numFmtId="0" fontId="30" fillId="0" borderId="26" xfId="62" applyFont="1" applyBorder="1" applyAlignment="1" applyProtection="1">
      <alignment horizontal="left" vertical="center" wrapText="1"/>
    </xf>
    <xf numFmtId="0" fontId="3" fillId="0" borderId="69" xfId="62" applyNumberFormat="1" applyFont="1" applyBorder="1" applyAlignment="1" applyProtection="1">
      <alignment horizontal="center" wrapText="1"/>
    </xf>
    <xf numFmtId="0" fontId="3" fillId="0" borderId="26" xfId="62" applyFont="1" applyBorder="1" applyAlignment="1" applyProtection="1">
      <alignment horizontal="left" vertical="center" wrapText="1" indent="1"/>
    </xf>
    <xf numFmtId="0" fontId="30" fillId="0" borderId="26" xfId="62" applyFont="1" applyBorder="1" applyAlignment="1" applyProtection="1">
      <alignment horizontal="left" vertical="center"/>
    </xf>
    <xf numFmtId="0" fontId="3" fillId="0" borderId="69" xfId="62" applyNumberFormat="1" applyBorder="1" applyAlignment="1" applyProtection="1">
      <alignment horizontal="center"/>
    </xf>
    <xf numFmtId="0" fontId="30" fillId="0" borderId="45" xfId="62" applyFont="1" applyBorder="1" applyAlignment="1" applyProtection="1">
      <alignment horizontal="left" vertical="center" wrapText="1"/>
    </xf>
    <xf numFmtId="0" fontId="3" fillId="0" borderId="45" xfId="62" applyFont="1" applyBorder="1" applyAlignment="1" applyProtection="1">
      <alignment horizontal="left" vertical="center" indent="1"/>
    </xf>
    <xf numFmtId="0" fontId="30" fillId="0" borderId="76" xfId="62" applyFont="1" applyBorder="1" applyAlignment="1" applyProtection="1">
      <alignment horizontal="left" vertical="center" wrapText="1"/>
    </xf>
    <xf numFmtId="0" fontId="3" fillId="0" borderId="75" xfId="62" applyNumberFormat="1" applyFont="1" applyBorder="1" applyAlignment="1" applyProtection="1">
      <alignment horizontal="center" wrapText="1"/>
    </xf>
    <xf numFmtId="0" fontId="30" fillId="0" borderId="26" xfId="62" applyFont="1" applyBorder="1" applyAlignment="1" applyProtection="1">
      <alignment vertical="center"/>
    </xf>
    <xf numFmtId="0" fontId="30" fillId="0" borderId="16" xfId="62" applyFont="1" applyBorder="1" applyAlignment="1" applyProtection="1">
      <alignment horizontal="center"/>
    </xf>
    <xf numFmtId="0" fontId="3" fillId="0" borderId="16" xfId="62" applyNumberFormat="1" applyFont="1" applyBorder="1" applyAlignment="1" applyProtection="1">
      <alignment horizontal="center" wrapText="1"/>
    </xf>
    <xf numFmtId="0" fontId="3" fillId="0" borderId="26" xfId="62" applyFont="1" applyBorder="1" applyAlignment="1" applyProtection="1">
      <alignment horizontal="left" vertical="center" indent="1"/>
    </xf>
    <xf numFmtId="0" fontId="30" fillId="0" borderId="32" xfId="62" applyFont="1" applyBorder="1" applyAlignment="1" applyProtection="1">
      <alignment horizontal="left" vertical="center" wrapText="1"/>
    </xf>
    <xf numFmtId="0" fontId="3" fillId="0" borderId="34" xfId="62" applyNumberFormat="1" applyFont="1" applyBorder="1" applyAlignment="1" applyProtection="1">
      <alignment horizontal="center" wrapText="1"/>
    </xf>
    <xf numFmtId="0" fontId="30" fillId="0" borderId="0" xfId="62" applyFont="1" applyBorder="1" applyAlignment="1" applyProtection="1">
      <alignment horizontal="left" wrapText="1" indent="1"/>
    </xf>
    <xf numFmtId="0" fontId="0" fillId="0" borderId="0" xfId="0" applyAlignment="1" applyProtection="1">
      <alignment horizontal="center"/>
    </xf>
    <xf numFmtId="0" fontId="30" fillId="0" borderId="0" xfId="62" applyFont="1" applyAlignment="1" applyProtection="1">
      <alignment horizontal="left" wrapText="1" indent="1"/>
    </xf>
    <xf numFmtId="0" fontId="3" fillId="0" borderId="0" xfId="62" applyNumberFormat="1" applyFont="1" applyAlignment="1" applyProtection="1">
      <alignment horizontal="center" wrapText="1"/>
    </xf>
    <xf numFmtId="0" fontId="30" fillId="0" borderId="45" xfId="62" applyFont="1" applyBorder="1" applyAlignment="1" applyProtection="1">
      <alignment vertical="center"/>
    </xf>
    <xf numFmtId="0" fontId="30" fillId="0" borderId="13" xfId="62" applyFont="1" applyBorder="1" applyAlignment="1" applyProtection="1">
      <alignment horizontal="center"/>
    </xf>
    <xf numFmtId="0" fontId="30" fillId="0" borderId="45" xfId="62" applyFont="1" applyBorder="1" applyAlignment="1" applyProtection="1">
      <alignment horizontal="left" vertical="center"/>
    </xf>
    <xf numFmtId="0" fontId="3" fillId="0" borderId="16" xfId="62" applyFill="1" applyBorder="1" applyAlignment="1" applyProtection="1">
      <alignment horizontal="center"/>
    </xf>
    <xf numFmtId="0" fontId="3" fillId="0" borderId="45" xfId="62" applyBorder="1" applyAlignment="1" applyProtection="1">
      <alignment horizontal="left" vertical="center" wrapText="1" indent="1"/>
    </xf>
    <xf numFmtId="0" fontId="30" fillId="0" borderId="45" xfId="62" applyFont="1" applyBorder="1" applyAlignment="1" applyProtection="1">
      <alignment horizontal="left" vertical="center" wrapText="1" indent="1"/>
    </xf>
    <xf numFmtId="0" fontId="3" fillId="0" borderId="16" xfId="62" applyNumberFormat="1" applyBorder="1" applyAlignment="1" applyProtection="1">
      <alignment horizontal="center"/>
    </xf>
    <xf numFmtId="0" fontId="30" fillId="0" borderId="45" xfId="62" applyFont="1" applyBorder="1" applyAlignment="1" applyProtection="1">
      <alignment horizontal="left" vertical="center" indent="1"/>
    </xf>
    <xf numFmtId="0" fontId="3" fillId="0" borderId="45" xfId="62" applyBorder="1" applyAlignment="1" applyProtection="1">
      <alignment horizontal="left" vertical="center" wrapText="1" indent="2"/>
    </xf>
    <xf numFmtId="0" fontId="30" fillId="0" borderId="45" xfId="62" applyFont="1" applyBorder="1" applyAlignment="1" applyProtection="1">
      <alignment horizontal="left" vertical="center" wrapText="1" indent="2"/>
    </xf>
    <xf numFmtId="0" fontId="30" fillId="0" borderId="76" xfId="62" applyFont="1" applyBorder="1" applyAlignment="1" applyProtection="1">
      <alignment horizontal="left" vertical="center" indent="1"/>
    </xf>
    <xf numFmtId="0" fontId="3" fillId="0" borderId="45" xfId="62" applyFont="1" applyBorder="1" applyAlignment="1" applyProtection="1">
      <alignment horizontal="left" vertical="center" wrapText="1"/>
    </xf>
    <xf numFmtId="0" fontId="3" fillId="0" borderId="69" xfId="62" applyBorder="1" applyAlignment="1" applyProtection="1">
      <alignment horizontal="center" vertical="center"/>
    </xf>
    <xf numFmtId="0" fontId="3" fillId="0" borderId="76" xfId="62" applyFont="1" applyBorder="1" applyAlignment="1" applyProtection="1">
      <alignment horizontal="left" vertical="center" wrapText="1"/>
    </xf>
    <xf numFmtId="0" fontId="3" fillId="0" borderId="75" xfId="62" applyBorder="1" applyAlignment="1" applyProtection="1">
      <alignment horizontal="center" vertical="center"/>
    </xf>
    <xf numFmtId="0" fontId="3" fillId="0" borderId="0" xfId="62" applyBorder="1" applyProtection="1"/>
    <xf numFmtId="0" fontId="3" fillId="0" borderId="0" xfId="62" applyFont="1" applyBorder="1" applyProtection="1"/>
    <xf numFmtId="0" fontId="3" fillId="0" borderId="0" xfId="62" applyBorder="1" applyAlignment="1" applyProtection="1">
      <alignment horizontal="center"/>
    </xf>
    <xf numFmtId="0" fontId="3" fillId="0" borderId="0" xfId="62" applyBorder="1" applyAlignment="1" applyProtection="1">
      <alignment horizontal="center" vertical="center"/>
    </xf>
    <xf numFmtId="0" fontId="54" fillId="21" borderId="0" xfId="71" applyFont="1" applyFill="1" applyBorder="1" applyAlignment="1" applyProtection="1"/>
    <xf numFmtId="0" fontId="31" fillId="21" borderId="0" xfId="72" applyFont="1" applyFill="1" applyBorder="1" applyAlignment="1" applyProtection="1"/>
    <xf numFmtId="0" fontId="31" fillId="21" borderId="0" xfId="72" applyFont="1" applyFill="1" applyBorder="1" applyAlignment="1" applyProtection="1">
      <alignment horizontal="center"/>
    </xf>
    <xf numFmtId="0" fontId="31" fillId="21" borderId="0" xfId="72" applyFont="1" applyFill="1" applyBorder="1" applyAlignment="1" applyProtection="1">
      <alignment horizontal="center" vertical="center"/>
    </xf>
    <xf numFmtId="0" fontId="3" fillId="21" borderId="0" xfId="72" applyFill="1" applyBorder="1" applyAlignment="1" applyProtection="1">
      <alignment horizontal="center" vertical="center"/>
    </xf>
    <xf numFmtId="0" fontId="55" fillId="21" borderId="0" xfId="72" applyFont="1" applyFill="1" applyBorder="1" applyAlignment="1" applyProtection="1">
      <alignment horizontal="center" vertical="center"/>
    </xf>
    <xf numFmtId="0" fontId="3" fillId="21" borderId="0" xfId="72" applyFill="1" applyBorder="1" applyAlignment="1" applyProtection="1"/>
    <xf numFmtId="0" fontId="41" fillId="21" borderId="0" xfId="71" applyFill="1" applyBorder="1" applyProtection="1"/>
    <xf numFmtId="0" fontId="56" fillId="21" borderId="0" xfId="72" applyFont="1" applyFill="1" applyBorder="1" applyAlignment="1" applyProtection="1">
      <alignment horizontal="left"/>
    </xf>
    <xf numFmtId="0" fontId="3" fillId="21" borderId="0" xfId="72" applyFill="1" applyBorder="1" applyAlignment="1" applyProtection="1">
      <alignment horizontal="center"/>
    </xf>
    <xf numFmtId="0" fontId="56" fillId="21" borderId="77" xfId="72" applyFont="1" applyFill="1" applyBorder="1" applyAlignment="1" applyProtection="1">
      <alignment horizontal="left"/>
    </xf>
    <xf numFmtId="0" fontId="3" fillId="21" borderId="77" xfId="72" applyFill="1" applyBorder="1" applyAlignment="1" applyProtection="1"/>
    <xf numFmtId="0" fontId="3" fillId="21" borderId="77" xfId="72" applyFill="1" applyBorder="1" applyAlignment="1" applyProtection="1">
      <alignment horizontal="center"/>
    </xf>
    <xf numFmtId="0" fontId="3" fillId="21" borderId="77" xfId="72" applyFill="1" applyBorder="1" applyAlignment="1" applyProtection="1">
      <alignment horizontal="center" vertical="center"/>
    </xf>
    <xf numFmtId="0" fontId="41" fillId="21" borderId="77" xfId="71" applyFill="1" applyBorder="1" applyProtection="1"/>
    <xf numFmtId="0" fontId="3" fillId="0" borderId="0" xfId="72" applyProtection="1"/>
    <xf numFmtId="0" fontId="3" fillId="0" borderId="0" xfId="72" applyAlignment="1" applyProtection="1">
      <alignment horizontal="center"/>
    </xf>
    <xf numFmtId="0" fontId="3" fillId="0" borderId="0" xfId="72" applyAlignment="1" applyProtection="1">
      <alignment horizontal="center" vertical="center"/>
    </xf>
    <xf numFmtId="0" fontId="41" fillId="0" borderId="0" xfId="71" applyProtection="1"/>
    <xf numFmtId="0" fontId="30" fillId="0" borderId="0" xfId="72" applyFont="1" applyProtection="1"/>
    <xf numFmtId="0" fontId="30" fillId="0" borderId="22" xfId="72" applyFont="1" applyBorder="1" applyProtection="1"/>
    <xf numFmtId="0" fontId="30" fillId="0" borderId="49" xfId="72" applyFont="1" applyBorder="1" applyAlignment="1" applyProtection="1">
      <alignment horizontal="centerContinuous" vertical="center"/>
    </xf>
    <xf numFmtId="0" fontId="30" fillId="0" borderId="50" xfId="72" applyFont="1" applyBorder="1" applyAlignment="1" applyProtection="1">
      <alignment horizontal="centerContinuous" vertical="center"/>
    </xf>
    <xf numFmtId="0" fontId="3" fillId="0" borderId="51" xfId="72" applyBorder="1" applyAlignment="1" applyProtection="1">
      <alignment horizontal="centerContinuous" vertical="center"/>
    </xf>
    <xf numFmtId="0" fontId="3" fillId="0" borderId="50" xfId="72" applyBorder="1" applyAlignment="1" applyProtection="1">
      <alignment horizontal="centerContinuous" vertical="center"/>
    </xf>
    <xf numFmtId="0" fontId="30" fillId="0" borderId="55" xfId="72" applyFont="1" applyBorder="1" applyAlignment="1" applyProtection="1">
      <alignment horizontal="centerContinuous" vertical="center"/>
    </xf>
    <xf numFmtId="0" fontId="30" fillId="0" borderId="56" xfId="72" applyFont="1" applyBorder="1" applyAlignment="1" applyProtection="1">
      <alignment horizontal="centerContinuous" vertical="center"/>
    </xf>
    <xf numFmtId="0" fontId="30" fillId="0" borderId="57" xfId="72" applyFont="1" applyBorder="1" applyAlignment="1" applyProtection="1">
      <alignment horizontal="centerContinuous" vertical="center"/>
    </xf>
    <xf numFmtId="0" fontId="3" fillId="0" borderId="35" xfId="72" applyBorder="1" applyProtection="1"/>
    <xf numFmtId="0" fontId="30" fillId="0" borderId="35" xfId="72" applyFont="1" applyBorder="1" applyAlignment="1" applyProtection="1">
      <alignment horizontal="center" vertical="center" wrapText="1"/>
    </xf>
    <xf numFmtId="0" fontId="30" fillId="0" borderId="37" xfId="72" applyFont="1" applyBorder="1" applyAlignment="1" applyProtection="1">
      <alignment horizontal="center" vertical="center" wrapText="1"/>
    </xf>
    <xf numFmtId="0" fontId="30" fillId="0" borderId="36" xfId="72" applyFont="1" applyBorder="1" applyAlignment="1" applyProtection="1">
      <alignment horizontal="center" vertical="center" wrapText="1"/>
    </xf>
    <xf numFmtId="0" fontId="30" fillId="0" borderId="20" xfId="72" applyFont="1" applyBorder="1" applyAlignment="1" applyProtection="1">
      <alignment horizontal="center" vertical="center" wrapText="1"/>
    </xf>
    <xf numFmtId="0" fontId="30" fillId="0" borderId="29" xfId="72" applyFont="1" applyBorder="1" applyAlignment="1" applyProtection="1">
      <alignment horizontal="center" vertical="center" wrapText="1"/>
    </xf>
    <xf numFmtId="0" fontId="30" fillId="0" borderId="30" xfId="72" applyFont="1" applyBorder="1" applyAlignment="1" applyProtection="1">
      <alignment horizontal="center" vertical="center" wrapText="1"/>
    </xf>
    <xf numFmtId="0" fontId="30" fillId="0" borderId="38" xfId="72" applyFont="1" applyBorder="1" applyAlignment="1" applyProtection="1">
      <alignment horizontal="center" vertical="center" wrapText="1"/>
    </xf>
    <xf numFmtId="0" fontId="3" fillId="0" borderId="45" xfId="72" applyBorder="1" applyProtection="1"/>
    <xf numFmtId="0" fontId="3" fillId="0" borderId="69" xfId="72" applyNumberFormat="1" applyFont="1" applyBorder="1" applyAlignment="1" applyProtection="1">
      <alignment horizontal="center" wrapText="1"/>
    </xf>
    <xf numFmtId="170" fontId="3" fillId="26" borderId="20" xfId="72" applyNumberFormat="1" applyFont="1" applyFill="1" applyBorder="1" applyAlignment="1" applyProtection="1">
      <alignment horizontal="center" vertical="center"/>
    </xf>
    <xf numFmtId="170" fontId="3" fillId="26" borderId="36" xfId="72" applyNumberFormat="1" applyFont="1" applyFill="1" applyBorder="1" applyAlignment="1" applyProtection="1">
      <alignment horizontal="center" vertical="center"/>
    </xf>
    <xf numFmtId="170" fontId="3" fillId="26" borderId="37" xfId="72" applyNumberFormat="1" applyFont="1" applyFill="1" applyBorder="1" applyAlignment="1" applyProtection="1">
      <alignment horizontal="center" vertical="center"/>
    </xf>
    <xf numFmtId="170" fontId="3" fillId="18" borderId="29" xfId="72" applyNumberFormat="1" applyFill="1" applyBorder="1" applyAlignment="1" applyProtection="1">
      <alignment horizontal="center" vertical="center"/>
    </xf>
    <xf numFmtId="170" fontId="3" fillId="18" borderId="30" xfId="72" applyNumberFormat="1" applyFill="1" applyBorder="1" applyAlignment="1" applyProtection="1">
      <alignment horizontal="center" vertical="center"/>
    </xf>
    <xf numFmtId="170" fontId="3" fillId="18" borderId="38" xfId="72" applyNumberFormat="1" applyFill="1" applyBorder="1" applyAlignment="1" applyProtection="1">
      <alignment horizontal="center" vertical="center"/>
    </xf>
    <xf numFmtId="170" fontId="3" fillId="26" borderId="35" xfId="72" applyNumberFormat="1" applyFont="1" applyFill="1" applyBorder="1" applyAlignment="1" applyProtection="1">
      <alignment horizontal="center" vertical="center"/>
    </xf>
    <xf numFmtId="0" fontId="3" fillId="0" borderId="45" xfId="72" applyFill="1" applyBorder="1" applyProtection="1"/>
    <xf numFmtId="170" fontId="30" fillId="18" borderId="29" xfId="72" applyNumberFormat="1" applyFont="1" applyFill="1" applyBorder="1" applyAlignment="1" applyProtection="1">
      <alignment horizontal="center" vertical="center"/>
    </xf>
    <xf numFmtId="170" fontId="30" fillId="18" borderId="30" xfId="72" applyNumberFormat="1" applyFont="1" applyFill="1" applyBorder="1" applyAlignment="1" applyProtection="1">
      <alignment horizontal="center" vertical="center"/>
    </xf>
    <xf numFmtId="170" fontId="30" fillId="18" borderId="38" xfId="72" applyNumberFormat="1" applyFont="1" applyFill="1" applyBorder="1" applyAlignment="1" applyProtection="1">
      <alignment horizontal="center" vertical="center"/>
    </xf>
    <xf numFmtId="170" fontId="30" fillId="18" borderId="12" xfId="72" applyNumberFormat="1" applyFont="1" applyFill="1" applyBorder="1" applyAlignment="1" applyProtection="1">
      <alignment horizontal="center" vertical="center"/>
    </xf>
    <xf numFmtId="170" fontId="35" fillId="19" borderId="29" xfId="72" applyNumberFormat="1" applyFont="1" applyFill="1" applyBorder="1" applyAlignment="1" applyProtection="1">
      <alignment horizontal="center" vertical="center"/>
      <protection locked="0"/>
    </xf>
    <xf numFmtId="170" fontId="30" fillId="18" borderId="52" xfId="72" applyNumberFormat="1" applyFont="1" applyFill="1" applyBorder="1" applyAlignment="1" applyProtection="1">
      <alignment horizontal="center" vertical="center"/>
    </xf>
    <xf numFmtId="170" fontId="30" fillId="18" borderId="15" xfId="72" applyNumberFormat="1" applyFont="1" applyFill="1" applyBorder="1" applyAlignment="1" applyProtection="1">
      <alignment horizontal="center" vertical="center"/>
    </xf>
    <xf numFmtId="170" fontId="30" fillId="18" borderId="53" xfId="72" applyNumberFormat="1" applyFont="1" applyFill="1" applyBorder="1" applyAlignment="1" applyProtection="1">
      <alignment horizontal="center" vertical="center"/>
    </xf>
    <xf numFmtId="170" fontId="30" fillId="18" borderId="54" xfId="72" applyNumberFormat="1" applyFont="1" applyFill="1" applyBorder="1" applyAlignment="1" applyProtection="1">
      <alignment horizontal="center" vertical="center"/>
    </xf>
    <xf numFmtId="0" fontId="3" fillId="0" borderId="76" xfId="72" applyBorder="1" applyProtection="1"/>
    <xf numFmtId="0" fontId="3" fillId="0" borderId="75" xfId="72" applyNumberFormat="1" applyFont="1" applyBorder="1" applyAlignment="1" applyProtection="1">
      <alignment horizontal="center" wrapText="1"/>
    </xf>
    <xf numFmtId="170" fontId="3" fillId="0" borderId="39" xfId="72" applyNumberFormat="1" applyFont="1" applyFill="1" applyBorder="1" applyAlignment="1" applyProtection="1">
      <alignment horizontal="center" vertical="center"/>
    </xf>
    <xf numFmtId="170" fontId="3" fillId="0" borderId="42" xfId="72" applyNumberFormat="1" applyFont="1" applyFill="1" applyBorder="1" applyAlignment="1" applyProtection="1">
      <alignment horizontal="center" vertical="center"/>
    </xf>
    <xf numFmtId="170" fontId="3" fillId="0" borderId="41" xfId="72" applyNumberFormat="1" applyFont="1" applyFill="1" applyBorder="1" applyAlignment="1" applyProtection="1">
      <alignment horizontal="center" vertical="center"/>
    </xf>
    <xf numFmtId="170" fontId="3" fillId="0" borderId="40" xfId="72" applyNumberFormat="1" applyFont="1" applyFill="1" applyBorder="1" applyAlignment="1" applyProtection="1">
      <alignment horizontal="center" vertical="center"/>
    </xf>
    <xf numFmtId="170" fontId="3" fillId="20" borderId="29" xfId="72" applyNumberFormat="1" applyFill="1" applyBorder="1" applyAlignment="1" applyProtection="1">
      <alignment horizontal="center" vertical="center"/>
    </xf>
    <xf numFmtId="170" fontId="3" fillId="20" borderId="30" xfId="72" applyNumberFormat="1" applyFill="1" applyBorder="1" applyAlignment="1" applyProtection="1">
      <alignment horizontal="center" vertical="center"/>
    </xf>
    <xf numFmtId="170" fontId="3" fillId="20" borderId="38" xfId="72" applyNumberFormat="1" applyFill="1" applyBorder="1" applyAlignment="1" applyProtection="1">
      <alignment horizontal="center" vertical="center"/>
    </xf>
    <xf numFmtId="164" fontId="3" fillId="20" borderId="38" xfId="1" applyNumberFormat="1" applyFont="1" applyFill="1" applyBorder="1" applyAlignment="1" applyProtection="1">
      <alignment horizontal="center" vertical="center"/>
    </xf>
    <xf numFmtId="170" fontId="35" fillId="19" borderId="12" xfId="72" applyNumberFormat="1" applyFont="1" applyFill="1" applyBorder="1" applyAlignment="1" applyProtection="1">
      <alignment horizontal="center" vertical="center"/>
      <protection locked="0"/>
    </xf>
    <xf numFmtId="170" fontId="35" fillId="19" borderId="38" xfId="72" applyNumberFormat="1" applyFont="1" applyFill="1" applyBorder="1" applyAlignment="1" applyProtection="1">
      <alignment horizontal="center" vertical="center"/>
      <protection locked="0"/>
    </xf>
    <xf numFmtId="170" fontId="35" fillId="19" borderId="30" xfId="72" applyNumberFormat="1" applyFont="1" applyFill="1" applyBorder="1" applyAlignment="1" applyProtection="1">
      <alignment horizontal="center" vertical="center"/>
      <protection locked="0"/>
    </xf>
    <xf numFmtId="170" fontId="30" fillId="18" borderId="39" xfId="72" applyNumberFormat="1" applyFont="1" applyFill="1" applyBorder="1" applyAlignment="1" applyProtection="1">
      <alignment horizontal="center" vertical="center"/>
    </xf>
    <xf numFmtId="170" fontId="30" fillId="18" borderId="42" xfId="72" applyNumberFormat="1" applyFont="1" applyFill="1" applyBorder="1" applyAlignment="1" applyProtection="1">
      <alignment horizontal="center" vertical="center"/>
    </xf>
    <xf numFmtId="170" fontId="30" fillId="18" borderId="41" xfId="72" applyNumberFormat="1" applyFont="1" applyFill="1" applyBorder="1" applyAlignment="1" applyProtection="1">
      <alignment horizontal="center" vertical="center"/>
    </xf>
    <xf numFmtId="170" fontId="30" fillId="18" borderId="40" xfId="72" applyNumberFormat="1" applyFont="1" applyFill="1" applyBorder="1" applyAlignment="1" applyProtection="1">
      <alignment horizontal="center" vertical="center"/>
    </xf>
    <xf numFmtId="170" fontId="3" fillId="18" borderId="39" xfId="72" applyNumberFormat="1" applyFill="1" applyBorder="1" applyAlignment="1" applyProtection="1">
      <alignment horizontal="center" vertical="center"/>
    </xf>
    <xf numFmtId="170" fontId="3" fillId="18" borderId="40" xfId="72" applyNumberFormat="1" applyFill="1" applyBorder="1" applyAlignment="1" applyProtection="1">
      <alignment horizontal="center" vertical="center"/>
    </xf>
    <xf numFmtId="170" fontId="3" fillId="18" borderId="41" xfId="72" applyNumberFormat="1" applyFill="1" applyBorder="1" applyAlignment="1" applyProtection="1">
      <alignment horizontal="center" vertical="center"/>
    </xf>
    <xf numFmtId="0" fontId="30" fillId="0" borderId="0" xfId="72" applyFont="1" applyFill="1" applyProtection="1"/>
    <xf numFmtId="0" fontId="3" fillId="0" borderId="0" xfId="72" applyNumberFormat="1" applyFont="1" applyAlignment="1" applyProtection="1">
      <alignment horizontal="center" wrapText="1"/>
    </xf>
    <xf numFmtId="0" fontId="3" fillId="0" borderId="0" xfId="72" applyFill="1" applyAlignment="1" applyProtection="1">
      <alignment horizontal="center" vertical="center"/>
    </xf>
    <xf numFmtId="0" fontId="30" fillId="0" borderId="45" xfId="72" applyFont="1" applyFill="1" applyBorder="1" applyAlignment="1" applyProtection="1">
      <alignment horizontal="left" indent="1"/>
    </xf>
    <xf numFmtId="0" fontId="3" fillId="0" borderId="16" xfId="72" applyFill="1" applyBorder="1" applyAlignment="1" applyProtection="1">
      <alignment horizontal="center"/>
    </xf>
    <xf numFmtId="0" fontId="3" fillId="0" borderId="47" xfId="72" applyFill="1" applyBorder="1" applyAlignment="1" applyProtection="1">
      <alignment horizontal="center" vertical="center"/>
    </xf>
    <xf numFmtId="0" fontId="3" fillId="0" borderId="19" xfId="72" applyFill="1" applyBorder="1" applyAlignment="1" applyProtection="1">
      <alignment horizontal="center" vertical="center"/>
    </xf>
    <xf numFmtId="0" fontId="3" fillId="0" borderId="48" xfId="72" applyFill="1" applyBorder="1" applyAlignment="1" applyProtection="1">
      <alignment horizontal="center" vertical="center"/>
    </xf>
    <xf numFmtId="0" fontId="3" fillId="0" borderId="47" xfId="72" applyBorder="1" applyAlignment="1" applyProtection="1">
      <alignment horizontal="center" vertical="center"/>
    </xf>
    <xf numFmtId="0" fontId="3" fillId="0" borderId="19" xfId="72" applyBorder="1" applyAlignment="1" applyProtection="1">
      <alignment horizontal="center" vertical="center"/>
    </xf>
    <xf numFmtId="0" fontId="3" fillId="0" borderId="48" xfId="72" applyBorder="1" applyAlignment="1" applyProtection="1">
      <alignment horizontal="center" vertical="center"/>
    </xf>
    <xf numFmtId="0" fontId="3" fillId="0" borderId="45" xfId="72" applyFill="1" applyBorder="1" applyAlignment="1" applyProtection="1">
      <alignment horizontal="left" wrapText="1" indent="2"/>
    </xf>
    <xf numFmtId="0" fontId="3" fillId="0" borderId="16" xfId="72" applyNumberFormat="1" applyFont="1" applyBorder="1" applyAlignment="1" applyProtection="1">
      <alignment horizontal="center" wrapText="1"/>
    </xf>
    <xf numFmtId="170" fontId="3" fillId="20" borderId="29" xfId="72" applyNumberFormat="1" applyFont="1" applyFill="1" applyBorder="1" applyAlignment="1" applyProtection="1">
      <alignment horizontal="center" vertical="center"/>
      <protection locked="0"/>
    </xf>
    <xf numFmtId="170" fontId="3" fillId="20" borderId="12" xfId="72" applyNumberFormat="1" applyFont="1" applyFill="1" applyBorder="1" applyAlignment="1" applyProtection="1">
      <alignment horizontal="center" vertical="center"/>
      <protection locked="0"/>
    </xf>
    <xf numFmtId="170" fontId="3" fillId="20" borderId="38" xfId="72" applyNumberFormat="1" applyFont="1" applyFill="1" applyBorder="1" applyAlignment="1" applyProtection="1">
      <alignment horizontal="center" vertical="center"/>
      <protection locked="0"/>
    </xf>
    <xf numFmtId="170" fontId="3" fillId="26" borderId="12" xfId="72" applyNumberFormat="1" applyFont="1" applyFill="1" applyBorder="1" applyAlignment="1" applyProtection="1">
      <alignment horizontal="center" vertical="center"/>
      <protection locked="0"/>
    </xf>
    <xf numFmtId="170" fontId="3" fillId="26" borderId="30" xfId="72" applyNumberFormat="1" applyFont="1" applyFill="1" applyBorder="1" applyAlignment="1" applyProtection="1">
      <alignment horizontal="center" vertical="center"/>
      <protection locked="0"/>
    </xf>
    <xf numFmtId="170" fontId="3" fillId="26" borderId="38" xfId="72" applyNumberFormat="1" applyFont="1" applyFill="1" applyBorder="1" applyAlignment="1" applyProtection="1">
      <alignment horizontal="center" vertical="center"/>
      <protection locked="0"/>
    </xf>
    <xf numFmtId="0" fontId="30" fillId="0" borderId="45" xfId="72" applyFont="1" applyFill="1" applyBorder="1" applyAlignment="1" applyProtection="1">
      <alignment horizontal="left" wrapText="1" indent="2"/>
    </xf>
    <xf numFmtId="170" fontId="3" fillId="18" borderId="12" xfId="72" applyNumberFormat="1" applyFill="1" applyBorder="1" applyAlignment="1" applyProtection="1">
      <alignment horizontal="center" vertical="center"/>
    </xf>
    <xf numFmtId="0" fontId="3" fillId="0" borderId="16" xfId="72" applyNumberFormat="1" applyBorder="1" applyAlignment="1" applyProtection="1">
      <alignment horizontal="center"/>
    </xf>
    <xf numFmtId="0" fontId="3" fillId="0" borderId="58" xfId="72" applyBorder="1" applyAlignment="1" applyProtection="1">
      <alignment horizontal="center" vertical="center"/>
    </xf>
    <xf numFmtId="0" fontId="3" fillId="0" borderId="11" xfId="72" applyBorder="1" applyAlignment="1" applyProtection="1">
      <alignment horizontal="center" vertical="center"/>
    </xf>
    <xf numFmtId="0" fontId="3" fillId="0" borderId="59" xfId="72" applyBorder="1" applyAlignment="1" applyProtection="1">
      <alignment horizontal="center" vertical="center"/>
    </xf>
    <xf numFmtId="0" fontId="3" fillId="0" borderId="58" xfId="72" applyFill="1" applyBorder="1" applyAlignment="1" applyProtection="1">
      <alignment horizontal="center" vertical="center"/>
    </xf>
    <xf numFmtId="0" fontId="30" fillId="0" borderId="76" xfId="72" applyFont="1" applyBorder="1" applyAlignment="1" applyProtection="1">
      <alignment horizontal="left" wrapText="1" indent="2"/>
    </xf>
    <xf numFmtId="0" fontId="3" fillId="0" borderId="34" xfId="72" applyNumberFormat="1" applyFont="1" applyBorder="1" applyAlignment="1" applyProtection="1">
      <alignment horizontal="center" wrapText="1"/>
    </xf>
    <xf numFmtId="170" fontId="3" fillId="18" borderId="42" xfId="72" applyNumberFormat="1" applyFill="1" applyBorder="1" applyAlignment="1" applyProtection="1">
      <alignment horizontal="center" vertical="center"/>
    </xf>
    <xf numFmtId="0" fontId="30" fillId="0" borderId="26" xfId="72" applyFont="1" applyBorder="1" applyProtection="1"/>
    <xf numFmtId="0" fontId="30" fillId="0" borderId="16" xfId="72" applyFont="1" applyBorder="1" applyAlignment="1" applyProtection="1">
      <alignment horizontal="center"/>
    </xf>
    <xf numFmtId="0" fontId="30" fillId="0" borderId="43" xfId="72" applyFont="1" applyBorder="1" applyAlignment="1" applyProtection="1">
      <alignment horizontal="center" vertical="center"/>
    </xf>
    <xf numFmtId="0" fontId="30" fillId="0" borderId="14" xfId="72" applyFont="1" applyBorder="1" applyAlignment="1" applyProtection="1">
      <alignment horizontal="center" vertical="center"/>
    </xf>
    <xf numFmtId="0" fontId="30" fillId="0" borderId="44" xfId="72" applyFont="1" applyBorder="1" applyAlignment="1" applyProtection="1">
      <alignment horizontal="center" vertical="center"/>
    </xf>
    <xf numFmtId="0" fontId="3" fillId="0" borderId="43" xfId="72" applyBorder="1" applyAlignment="1" applyProtection="1">
      <alignment horizontal="center" vertical="center"/>
    </xf>
    <xf numFmtId="0" fontId="3" fillId="0" borderId="14" xfId="72" applyBorder="1" applyAlignment="1" applyProtection="1">
      <alignment horizontal="center" vertical="center"/>
    </xf>
    <xf numFmtId="0" fontId="3" fillId="0" borderId="44" xfId="72" applyBorder="1" applyAlignment="1" applyProtection="1">
      <alignment horizontal="center" vertical="center"/>
    </xf>
    <xf numFmtId="0" fontId="41" fillId="0" borderId="0" xfId="71" applyBorder="1" applyProtection="1"/>
    <xf numFmtId="0" fontId="30" fillId="0" borderId="26" xfId="72" applyFont="1" applyBorder="1" applyAlignment="1" applyProtection="1">
      <alignment horizontal="left" indent="1"/>
    </xf>
    <xf numFmtId="0" fontId="30" fillId="0" borderId="45" xfId="72" applyFont="1" applyBorder="1" applyAlignment="1" applyProtection="1">
      <alignment horizontal="center" vertical="center"/>
    </xf>
    <xf numFmtId="0" fontId="30" fillId="0" borderId="0" xfId="72" applyFont="1" applyBorder="1" applyAlignment="1" applyProtection="1">
      <alignment horizontal="center" vertical="center"/>
    </xf>
    <xf numFmtId="0" fontId="30" fillId="0" borderId="46" xfId="72" applyFont="1" applyBorder="1" applyAlignment="1" applyProtection="1">
      <alignment horizontal="center" vertical="center"/>
    </xf>
    <xf numFmtId="0" fontId="3" fillId="0" borderId="45" xfId="72" applyBorder="1" applyAlignment="1" applyProtection="1">
      <alignment horizontal="center" vertical="center"/>
    </xf>
    <xf numFmtId="0" fontId="3" fillId="0" borderId="0" xfId="72" applyBorder="1" applyAlignment="1" applyProtection="1">
      <alignment horizontal="center" vertical="center"/>
    </xf>
    <xf numFmtId="0" fontId="3" fillId="0" borderId="46" xfId="72" applyBorder="1" applyAlignment="1" applyProtection="1">
      <alignment horizontal="center" vertical="center"/>
    </xf>
    <xf numFmtId="0" fontId="3" fillId="0" borderId="26" xfId="72" applyFont="1" applyBorder="1" applyAlignment="1" applyProtection="1">
      <alignment horizontal="left" indent="2"/>
    </xf>
    <xf numFmtId="1" fontId="3" fillId="18" borderId="29" xfId="72" applyNumberFormat="1" applyFont="1" applyFill="1" applyBorder="1" applyAlignment="1" applyProtection="1">
      <alignment horizontal="center" vertical="center"/>
      <protection locked="0"/>
    </xf>
    <xf numFmtId="1" fontId="3" fillId="18" borderId="12" xfId="72" applyNumberFormat="1" applyFont="1" applyFill="1" applyBorder="1" applyAlignment="1" applyProtection="1">
      <alignment horizontal="center" vertical="center"/>
      <protection locked="0"/>
    </xf>
    <xf numFmtId="1" fontId="3" fillId="18" borderId="38" xfId="72" applyNumberFormat="1" applyFont="1" applyFill="1" applyBorder="1" applyAlignment="1" applyProtection="1">
      <alignment horizontal="center" vertical="center"/>
      <protection locked="0"/>
    </xf>
    <xf numFmtId="1" fontId="3" fillId="18" borderId="30" xfId="72" applyNumberFormat="1" applyFont="1" applyFill="1" applyBorder="1" applyAlignment="1" applyProtection="1">
      <alignment horizontal="center" vertical="center"/>
      <protection locked="0"/>
    </xf>
    <xf numFmtId="0" fontId="3" fillId="0" borderId="45" xfId="72" applyFont="1" applyBorder="1" applyAlignment="1" applyProtection="1">
      <alignment horizontal="left" indent="2"/>
    </xf>
    <xf numFmtId="1" fontId="35" fillId="20" borderId="29" xfId="72" applyNumberFormat="1" applyFont="1" applyFill="1" applyBorder="1" applyAlignment="1" applyProtection="1">
      <alignment horizontal="center" vertical="center"/>
      <protection locked="0"/>
    </xf>
    <xf numFmtId="1" fontId="35" fillId="20" borderId="12" xfId="72" applyNumberFormat="1" applyFont="1" applyFill="1" applyBorder="1" applyAlignment="1" applyProtection="1">
      <alignment horizontal="center" vertical="center"/>
      <protection locked="0"/>
    </xf>
    <xf numFmtId="1" fontId="35" fillId="20" borderId="38" xfId="72" applyNumberFormat="1" applyFont="1" applyFill="1" applyBorder="1" applyAlignment="1" applyProtection="1">
      <alignment horizontal="center" vertical="center"/>
      <protection locked="0"/>
    </xf>
    <xf numFmtId="0" fontId="30" fillId="0" borderId="26" xfId="72" applyFont="1" applyFill="1" applyBorder="1" applyAlignment="1" applyProtection="1">
      <alignment horizontal="left" indent="1"/>
    </xf>
    <xf numFmtId="1" fontId="30" fillId="0" borderId="45" xfId="72" applyNumberFormat="1" applyFont="1" applyBorder="1" applyAlignment="1" applyProtection="1">
      <alignment horizontal="center" vertical="center"/>
    </xf>
    <xf numFmtId="1" fontId="30" fillId="0" borderId="0" xfId="72" applyNumberFormat="1" applyFont="1" applyBorder="1" applyAlignment="1" applyProtection="1">
      <alignment horizontal="center" vertical="center"/>
    </xf>
    <xf numFmtId="1" fontId="30" fillId="0" borderId="46" xfId="72" applyNumberFormat="1" applyFont="1" applyBorder="1" applyAlignment="1" applyProtection="1">
      <alignment horizontal="center" vertical="center"/>
    </xf>
    <xf numFmtId="1" fontId="3" fillId="0" borderId="45" xfId="72" applyNumberFormat="1" applyBorder="1" applyAlignment="1" applyProtection="1">
      <alignment horizontal="center" vertical="center"/>
    </xf>
    <xf numFmtId="1" fontId="3" fillId="0" borderId="0" xfId="72" applyNumberFormat="1" applyBorder="1" applyAlignment="1" applyProtection="1">
      <alignment horizontal="center" vertical="center"/>
    </xf>
    <xf numFmtId="1" fontId="3" fillId="0" borderId="46" xfId="72" applyNumberFormat="1" applyBorder="1" applyAlignment="1" applyProtection="1">
      <alignment horizontal="center" vertical="center"/>
    </xf>
    <xf numFmtId="0" fontId="3" fillId="0" borderId="26" xfId="72" applyFont="1" applyFill="1" applyBorder="1" applyAlignment="1" applyProtection="1">
      <alignment horizontal="left" indent="2"/>
    </xf>
    <xf numFmtId="0" fontId="3" fillId="0" borderId="45" xfId="72" applyFont="1" applyFill="1" applyBorder="1" applyAlignment="1" applyProtection="1">
      <alignment horizontal="left" indent="2"/>
    </xf>
    <xf numFmtId="1" fontId="3" fillId="20" borderId="29" xfId="72" applyNumberFormat="1" applyFont="1" applyFill="1" applyBorder="1" applyAlignment="1" applyProtection="1">
      <alignment horizontal="center" vertical="center"/>
      <protection locked="0"/>
    </xf>
    <xf numFmtId="1" fontId="3" fillId="20" borderId="12" xfId="72" applyNumberFormat="1" applyFont="1" applyFill="1" applyBorder="1" applyAlignment="1" applyProtection="1">
      <alignment horizontal="center" vertical="center"/>
      <protection locked="0"/>
    </xf>
    <xf numFmtId="1" fontId="3" fillId="20" borderId="38" xfId="72" applyNumberFormat="1" applyFont="1" applyFill="1" applyBorder="1" applyAlignment="1" applyProtection="1">
      <alignment horizontal="center" vertical="center"/>
      <protection locked="0"/>
    </xf>
    <xf numFmtId="1" fontId="3" fillId="0" borderId="45" xfId="72" applyNumberFormat="1" applyFont="1" applyBorder="1" applyAlignment="1" applyProtection="1">
      <alignment horizontal="center" vertical="center"/>
    </xf>
    <xf numFmtId="1" fontId="3" fillId="0" borderId="0" xfId="72" applyNumberFormat="1" applyFont="1" applyBorder="1" applyAlignment="1" applyProtection="1">
      <alignment horizontal="center" vertical="center"/>
    </xf>
    <xf numFmtId="1" fontId="3" fillId="0" borderId="46" xfId="72" applyNumberFormat="1" applyFont="1" applyBorder="1" applyAlignment="1" applyProtection="1">
      <alignment horizontal="center" vertical="center"/>
    </xf>
    <xf numFmtId="1" fontId="3" fillId="18" borderId="52" xfId="72" applyNumberFormat="1" applyFont="1" applyFill="1" applyBorder="1" applyAlignment="1" applyProtection="1">
      <alignment horizontal="center" vertical="center"/>
      <protection locked="0"/>
    </xf>
    <xf numFmtId="1" fontId="3" fillId="18" borderId="15" xfId="72" applyNumberFormat="1" applyFont="1" applyFill="1" applyBorder="1" applyAlignment="1" applyProtection="1">
      <alignment horizontal="center" vertical="center"/>
      <protection locked="0"/>
    </xf>
    <xf numFmtId="1" fontId="3" fillId="18" borderId="53" xfId="72" applyNumberFormat="1" applyFont="1" applyFill="1" applyBorder="1" applyAlignment="1" applyProtection="1">
      <alignment horizontal="center" vertical="center"/>
      <protection locked="0"/>
    </xf>
    <xf numFmtId="1" fontId="3" fillId="18" borderId="54" xfId="72" applyNumberFormat="1" applyFont="1" applyFill="1" applyBorder="1" applyAlignment="1" applyProtection="1">
      <alignment horizontal="center" vertical="center"/>
      <protection locked="0"/>
    </xf>
    <xf numFmtId="1" fontId="3" fillId="20" borderId="52" xfId="72" applyNumberFormat="1" applyFont="1" applyFill="1" applyBorder="1" applyAlignment="1" applyProtection="1">
      <alignment horizontal="center" vertical="center"/>
      <protection locked="0"/>
    </xf>
    <xf numFmtId="1" fontId="3" fillId="20" borderId="15" xfId="72" applyNumberFormat="1" applyFont="1" applyFill="1" applyBorder="1" applyAlignment="1" applyProtection="1">
      <alignment horizontal="center" vertical="center"/>
      <protection locked="0"/>
    </xf>
    <xf numFmtId="1" fontId="3" fillId="20" borderId="53" xfId="72" applyNumberFormat="1" applyFont="1" applyFill="1" applyBorder="1" applyAlignment="1" applyProtection="1">
      <alignment horizontal="center" vertical="center"/>
      <protection locked="0"/>
    </xf>
    <xf numFmtId="0" fontId="30" fillId="0" borderId="32" xfId="72" applyFont="1" applyBorder="1" applyAlignment="1" applyProtection="1">
      <alignment horizontal="left" wrapText="1" indent="1"/>
    </xf>
    <xf numFmtId="1" fontId="30" fillId="18" borderId="39" xfId="72" applyNumberFormat="1" applyFont="1" applyFill="1" applyBorder="1" applyAlignment="1" applyProtection="1">
      <alignment horizontal="center" vertical="center"/>
    </xf>
    <xf numFmtId="1" fontId="30" fillId="18" borderId="40" xfId="72" applyNumberFormat="1" applyFont="1" applyFill="1" applyBorder="1" applyAlignment="1" applyProtection="1">
      <alignment horizontal="center" vertical="center"/>
    </xf>
    <xf numFmtId="1" fontId="30" fillId="18" borderId="41" xfId="72" applyNumberFormat="1" applyFont="1" applyFill="1" applyBorder="1" applyAlignment="1" applyProtection="1">
      <alignment horizontal="center" vertical="center"/>
    </xf>
    <xf numFmtId="0" fontId="36" fillId="0" borderId="0" xfId="71" applyFont="1" applyBorder="1" applyProtection="1"/>
    <xf numFmtId="0" fontId="30" fillId="0" borderId="0" xfId="72" applyFont="1" applyBorder="1" applyAlignment="1" applyProtection="1">
      <alignment horizontal="left" wrapText="1" indent="1"/>
    </xf>
    <xf numFmtId="0" fontId="41" fillId="0" borderId="0" xfId="71" applyAlignment="1" applyProtection="1">
      <alignment horizontal="center"/>
    </xf>
    <xf numFmtId="0" fontId="3" fillId="0" borderId="0" xfId="72" applyFill="1" applyProtection="1"/>
    <xf numFmtId="0" fontId="30" fillId="0" borderId="48" xfId="72" applyFont="1" applyBorder="1" applyAlignment="1" applyProtection="1">
      <alignment horizontal="center" vertical="center" wrapText="1"/>
    </xf>
    <xf numFmtId="0" fontId="3" fillId="0" borderId="15" xfId="72" applyBorder="1" applyAlignment="1" applyProtection="1">
      <alignment horizontal="center" vertical="center"/>
    </xf>
    <xf numFmtId="0" fontId="3" fillId="0" borderId="0" xfId="72" applyNumberFormat="1" applyFont="1" applyBorder="1" applyAlignment="1" applyProtection="1">
      <alignment horizontal="center" wrapText="1"/>
    </xf>
    <xf numFmtId="0" fontId="3" fillId="0" borderId="17" xfId="72" applyBorder="1" applyAlignment="1" applyProtection="1">
      <alignment horizontal="center" vertical="center"/>
    </xf>
    <xf numFmtId="1" fontId="35" fillId="19" borderId="29" xfId="72" applyNumberFormat="1" applyFont="1" applyFill="1" applyBorder="1" applyAlignment="1" applyProtection="1">
      <alignment horizontal="center" vertical="center"/>
      <protection locked="0"/>
    </xf>
    <xf numFmtId="1" fontId="35" fillId="19" borderId="12" xfId="72" applyNumberFormat="1" applyFont="1" applyFill="1" applyBorder="1" applyAlignment="1" applyProtection="1">
      <alignment horizontal="center" vertical="center"/>
      <protection locked="0"/>
    </xf>
    <xf numFmtId="1" fontId="35" fillId="19" borderId="38" xfId="72" applyNumberFormat="1" applyFont="1" applyFill="1" applyBorder="1" applyAlignment="1" applyProtection="1">
      <alignment horizontal="center" vertical="center"/>
      <protection locked="0"/>
    </xf>
    <xf numFmtId="1" fontId="35" fillId="19" borderId="30" xfId="72" applyNumberFormat="1" applyFont="1" applyFill="1" applyBorder="1" applyAlignment="1" applyProtection="1">
      <alignment horizontal="center" vertical="center"/>
      <protection locked="0"/>
    </xf>
    <xf numFmtId="1" fontId="35" fillId="19" borderId="59" xfId="72" applyNumberFormat="1" applyFont="1" applyFill="1" applyBorder="1" applyAlignment="1" applyProtection="1">
      <alignment horizontal="center" vertical="center"/>
      <protection locked="0"/>
    </xf>
    <xf numFmtId="1" fontId="3" fillId="26" borderId="29" xfId="72" applyNumberFormat="1" applyFont="1" applyFill="1" applyBorder="1" applyAlignment="1" applyProtection="1">
      <alignment horizontal="center" vertical="center"/>
      <protection locked="0"/>
    </xf>
    <xf numFmtId="1" fontId="3" fillId="26" borderId="30" xfId="72" applyNumberFormat="1" applyFont="1" applyFill="1" applyBorder="1" applyAlignment="1" applyProtection="1">
      <alignment horizontal="center" vertical="center"/>
      <protection locked="0"/>
    </xf>
    <xf numFmtId="1" fontId="3" fillId="26" borderId="59" xfId="72" applyNumberFormat="1" applyFont="1" applyFill="1" applyBorder="1" applyAlignment="1" applyProtection="1">
      <alignment horizontal="center" vertical="center"/>
      <protection locked="0"/>
    </xf>
    <xf numFmtId="1" fontId="3" fillId="0" borderId="17" xfId="72" applyNumberFormat="1" applyBorder="1" applyAlignment="1" applyProtection="1">
      <alignment horizontal="center" vertical="center"/>
    </xf>
    <xf numFmtId="1" fontId="35" fillId="19" borderId="52" xfId="72" applyNumberFormat="1" applyFont="1" applyFill="1" applyBorder="1" applyAlignment="1" applyProtection="1">
      <alignment horizontal="center" vertical="center"/>
      <protection locked="0"/>
    </xf>
    <xf numFmtId="1" fontId="35" fillId="19" borderId="15" xfId="72" applyNumberFormat="1" applyFont="1" applyFill="1" applyBorder="1" applyAlignment="1" applyProtection="1">
      <alignment horizontal="center" vertical="center"/>
      <protection locked="0"/>
    </xf>
    <xf numFmtId="1" fontId="35" fillId="19" borderId="53" xfId="72" applyNumberFormat="1" applyFont="1" applyFill="1" applyBorder="1" applyAlignment="1" applyProtection="1">
      <alignment horizontal="center" vertical="center"/>
      <protection locked="0"/>
    </xf>
    <xf numFmtId="1" fontId="35" fillId="19" borderId="54" xfId="72" applyNumberFormat="1" applyFont="1" applyFill="1" applyBorder="1" applyAlignment="1" applyProtection="1">
      <alignment horizontal="center" vertical="center"/>
      <protection locked="0"/>
    </xf>
    <xf numFmtId="1" fontId="35" fillId="19" borderId="44" xfId="72" applyNumberFormat="1" applyFont="1" applyFill="1" applyBorder="1" applyAlignment="1" applyProtection="1">
      <alignment horizontal="center" vertical="center"/>
      <protection locked="0"/>
    </xf>
    <xf numFmtId="1" fontId="35" fillId="20" borderId="52" xfId="72" applyNumberFormat="1" applyFont="1" applyFill="1" applyBorder="1" applyAlignment="1" applyProtection="1">
      <alignment horizontal="center" vertical="center"/>
      <protection locked="0"/>
    </xf>
    <xf numFmtId="1" fontId="35" fillId="20" borderId="15" xfId="72" applyNumberFormat="1" applyFont="1" applyFill="1" applyBorder="1" applyAlignment="1" applyProtection="1">
      <alignment horizontal="center" vertical="center"/>
      <protection locked="0"/>
    </xf>
    <xf numFmtId="1" fontId="35" fillId="20" borderId="53" xfId="72" applyNumberFormat="1" applyFont="1" applyFill="1" applyBorder="1" applyAlignment="1" applyProtection="1">
      <alignment horizontal="center" vertical="center"/>
      <protection locked="0"/>
    </xf>
    <xf numFmtId="1" fontId="3" fillId="26" borderId="52" xfId="72" applyNumberFormat="1" applyFont="1" applyFill="1" applyBorder="1" applyAlignment="1" applyProtection="1">
      <alignment horizontal="center" vertical="center"/>
      <protection locked="0"/>
    </xf>
    <xf numFmtId="1" fontId="30" fillId="18" borderId="64" xfId="72" applyNumberFormat="1" applyFont="1" applyFill="1" applyBorder="1" applyAlignment="1" applyProtection="1">
      <alignment horizontal="center" vertical="center"/>
    </xf>
    <xf numFmtId="0" fontId="30" fillId="0" borderId="0" xfId="72" applyFont="1" applyAlignment="1" applyProtection="1">
      <alignment horizontal="left" wrapText="1" indent="1"/>
    </xf>
    <xf numFmtId="1" fontId="3" fillId="26" borderId="28" xfId="72" applyNumberFormat="1" applyFont="1" applyFill="1" applyBorder="1" applyAlignment="1" applyProtection="1">
      <alignment horizontal="center" vertical="center"/>
      <protection locked="0"/>
    </xf>
    <xf numFmtId="1" fontId="3" fillId="26" borderId="70" xfId="72" applyNumberFormat="1" applyFont="1" applyFill="1" applyBorder="1" applyAlignment="1" applyProtection="1">
      <alignment horizontal="center" vertical="center"/>
      <protection locked="0"/>
    </xf>
    <xf numFmtId="0" fontId="30" fillId="0" borderId="45" xfId="72" applyFont="1" applyFill="1" applyBorder="1" applyProtection="1"/>
    <xf numFmtId="0" fontId="30" fillId="0" borderId="13" xfId="72" applyFont="1" applyBorder="1" applyAlignment="1" applyProtection="1">
      <alignment horizontal="center"/>
    </xf>
    <xf numFmtId="170" fontId="35" fillId="20" borderId="29" xfId="72" applyNumberFormat="1" applyFont="1" applyFill="1" applyBorder="1" applyAlignment="1" applyProtection="1">
      <alignment horizontal="center" vertical="center"/>
      <protection locked="0"/>
    </xf>
    <xf numFmtId="170" fontId="35" fillId="20" borderId="12" xfId="72" applyNumberFormat="1" applyFont="1" applyFill="1" applyBorder="1" applyAlignment="1" applyProtection="1">
      <alignment horizontal="center" vertical="center"/>
      <protection locked="0"/>
    </xf>
    <xf numFmtId="170" fontId="35" fillId="20" borderId="38" xfId="72" applyNumberFormat="1" applyFont="1" applyFill="1" applyBorder="1" applyAlignment="1" applyProtection="1">
      <alignment horizontal="center" vertical="center"/>
      <protection locked="0"/>
    </xf>
    <xf numFmtId="9" fontId="35" fillId="20" borderId="29" xfId="1" applyFont="1" applyFill="1" applyBorder="1" applyAlignment="1" applyProtection="1">
      <alignment horizontal="center" vertical="center"/>
      <protection locked="0"/>
    </xf>
    <xf numFmtId="9" fontId="35" fillId="20" borderId="12" xfId="1" applyFont="1" applyFill="1" applyBorder="1" applyAlignment="1" applyProtection="1">
      <alignment horizontal="center" vertical="center"/>
      <protection locked="0"/>
    </xf>
    <xf numFmtId="9" fontId="35" fillId="20" borderId="38" xfId="1" applyFont="1" applyFill="1" applyBorder="1" applyAlignment="1" applyProtection="1">
      <alignment horizontal="center" vertical="center"/>
      <protection locked="0"/>
    </xf>
    <xf numFmtId="9" fontId="35" fillId="19" borderId="12" xfId="1" applyFont="1" applyFill="1" applyBorder="1" applyAlignment="1" applyProtection="1">
      <alignment horizontal="center" vertical="center"/>
      <protection locked="0"/>
    </xf>
    <xf numFmtId="9" fontId="35" fillId="19" borderId="30" xfId="1" applyFont="1" applyFill="1" applyBorder="1" applyAlignment="1" applyProtection="1">
      <alignment horizontal="center" vertical="center"/>
      <protection locked="0"/>
    </xf>
    <xf numFmtId="9" fontId="35" fillId="19" borderId="38" xfId="1" applyFont="1" applyFill="1" applyBorder="1" applyAlignment="1" applyProtection="1">
      <alignment horizontal="center" vertical="center"/>
      <protection locked="0"/>
    </xf>
    <xf numFmtId="9" fontId="35" fillId="26" borderId="12" xfId="1" applyFont="1" applyFill="1" applyBorder="1" applyAlignment="1" applyProtection="1">
      <alignment horizontal="center" vertical="center"/>
      <protection locked="0"/>
    </xf>
    <xf numFmtId="9" fontId="35" fillId="26" borderId="30" xfId="1" applyFont="1" applyFill="1" applyBorder="1" applyAlignment="1" applyProtection="1">
      <alignment horizontal="center" vertical="center"/>
      <protection locked="0"/>
    </xf>
    <xf numFmtId="9" fontId="35" fillId="26" borderId="38" xfId="1" applyFont="1" applyFill="1" applyBorder="1" applyAlignment="1" applyProtection="1">
      <alignment horizontal="center" vertical="center"/>
      <protection locked="0"/>
    </xf>
    <xf numFmtId="170" fontId="35" fillId="20" borderId="29" xfId="1" applyNumberFormat="1" applyFont="1" applyFill="1" applyBorder="1" applyAlignment="1" applyProtection="1">
      <alignment horizontal="center" vertical="center"/>
      <protection locked="0"/>
    </xf>
    <xf numFmtId="170" fontId="35" fillId="20" borderId="12" xfId="1" applyNumberFormat="1" applyFont="1" applyFill="1" applyBorder="1" applyAlignment="1" applyProtection="1">
      <alignment horizontal="center" vertical="center"/>
      <protection locked="0"/>
    </xf>
    <xf numFmtId="170" fontId="35" fillId="20" borderId="38" xfId="1" applyNumberFormat="1" applyFont="1" applyFill="1" applyBorder="1" applyAlignment="1" applyProtection="1">
      <alignment horizontal="center" vertical="center"/>
      <protection locked="0"/>
    </xf>
    <xf numFmtId="170" fontId="35" fillId="19" borderId="12" xfId="1" applyNumberFormat="1" applyFont="1" applyFill="1" applyBorder="1" applyAlignment="1" applyProtection="1">
      <alignment horizontal="center" vertical="center"/>
      <protection locked="0"/>
    </xf>
    <xf numFmtId="170" fontId="35" fillId="19" borderId="30" xfId="1" applyNumberFormat="1" applyFont="1" applyFill="1" applyBorder="1" applyAlignment="1" applyProtection="1">
      <alignment horizontal="center" vertical="center"/>
      <protection locked="0"/>
    </xf>
    <xf numFmtId="170" fontId="35" fillId="19" borderId="38" xfId="1" applyNumberFormat="1" applyFont="1" applyFill="1" applyBorder="1" applyAlignment="1" applyProtection="1">
      <alignment horizontal="center" vertical="center"/>
      <protection locked="0"/>
    </xf>
    <xf numFmtId="0" fontId="30" fillId="0" borderId="45" xfId="72" applyFont="1" applyBorder="1" applyAlignment="1" applyProtection="1">
      <alignment horizontal="left" wrapText="1" indent="2"/>
    </xf>
    <xf numFmtId="170" fontId="35" fillId="19" borderId="52" xfId="72" applyNumberFormat="1" applyFont="1" applyFill="1" applyBorder="1" applyAlignment="1" applyProtection="1">
      <alignment horizontal="center" vertical="center"/>
      <protection locked="0"/>
    </xf>
    <xf numFmtId="170" fontId="35" fillId="19" borderId="15" xfId="72" applyNumberFormat="1" applyFont="1" applyFill="1" applyBorder="1" applyAlignment="1" applyProtection="1">
      <alignment horizontal="center" vertical="center"/>
      <protection locked="0"/>
    </xf>
    <xf numFmtId="170" fontId="35" fillId="19" borderId="53" xfId="72" applyNumberFormat="1" applyFont="1" applyFill="1" applyBorder="1" applyAlignment="1" applyProtection="1">
      <alignment horizontal="center" vertical="center"/>
      <protection locked="0"/>
    </xf>
    <xf numFmtId="170" fontId="3" fillId="18" borderId="15" xfId="72" applyNumberFormat="1" applyFill="1" applyBorder="1" applyAlignment="1" applyProtection="1">
      <alignment horizontal="center" vertical="center"/>
    </xf>
    <xf numFmtId="170" fontId="3" fillId="18" borderId="54" xfId="72" applyNumberFormat="1" applyFill="1" applyBorder="1" applyAlignment="1" applyProtection="1">
      <alignment horizontal="center" vertical="center"/>
    </xf>
    <xf numFmtId="170" fontId="3" fillId="18" borderId="53" xfId="72" applyNumberFormat="1" applyFill="1" applyBorder="1" applyAlignment="1" applyProtection="1">
      <alignment horizontal="center" vertical="center"/>
    </xf>
    <xf numFmtId="0" fontId="30" fillId="0" borderId="39" xfId="72" applyFont="1" applyFill="1" applyBorder="1" applyAlignment="1" applyProtection="1">
      <alignment horizontal="left" wrapText="1" indent="2"/>
    </xf>
    <xf numFmtId="0" fontId="3" fillId="0" borderId="40" xfId="72" applyNumberFormat="1" applyFont="1" applyBorder="1" applyAlignment="1" applyProtection="1">
      <alignment horizontal="center" wrapText="1"/>
    </xf>
    <xf numFmtId="170" fontId="3" fillId="26" borderId="40" xfId="72" applyNumberFormat="1" applyFont="1" applyFill="1" applyBorder="1" applyAlignment="1" applyProtection="1">
      <alignment horizontal="center" vertical="center"/>
      <protection locked="0"/>
    </xf>
    <xf numFmtId="170" fontId="3" fillId="26" borderId="40" xfId="72" applyNumberFormat="1" applyFont="1" applyFill="1" applyBorder="1" applyAlignment="1" applyProtection="1">
      <alignment horizontal="center" vertical="center"/>
    </xf>
    <xf numFmtId="170" fontId="3" fillId="26" borderId="41" xfId="72" applyNumberFormat="1" applyFont="1" applyFill="1" applyBorder="1" applyAlignment="1" applyProtection="1">
      <alignment horizontal="center" vertical="center"/>
    </xf>
    <xf numFmtId="170" fontId="3" fillId="18" borderId="40" xfId="72" applyNumberFormat="1" applyFont="1" applyFill="1" applyBorder="1" applyAlignment="1" applyProtection="1">
      <alignment horizontal="center" vertical="center"/>
    </xf>
    <xf numFmtId="170" fontId="3" fillId="18" borderId="41" xfId="72" applyNumberFormat="1" applyFont="1" applyFill="1" applyBorder="1" applyAlignment="1" applyProtection="1">
      <alignment horizontal="center" vertical="center"/>
    </xf>
    <xf numFmtId="170" fontId="3" fillId="18" borderId="76" xfId="72" applyNumberFormat="1" applyFill="1" applyBorder="1" applyAlignment="1" applyProtection="1">
      <alignment horizontal="center" vertical="center"/>
    </xf>
    <xf numFmtId="0" fontId="3" fillId="0" borderId="29" xfId="72" applyBorder="1" applyAlignment="1" applyProtection="1">
      <alignment horizontal="center" vertical="center"/>
    </xf>
    <xf numFmtId="0" fontId="3" fillId="0" borderId="30" xfId="72" applyBorder="1" applyAlignment="1" applyProtection="1">
      <alignment horizontal="center" vertical="center"/>
    </xf>
    <xf numFmtId="0" fontId="3" fillId="0" borderId="38" xfId="72" applyBorder="1" applyAlignment="1" applyProtection="1">
      <alignment horizontal="center" vertical="center"/>
    </xf>
    <xf numFmtId="0" fontId="3" fillId="0" borderId="29" xfId="72" applyFill="1" applyBorder="1" applyAlignment="1" applyProtection="1">
      <alignment horizontal="center" vertical="center"/>
    </xf>
    <xf numFmtId="0" fontId="3" fillId="0" borderId="38" xfId="72" applyFill="1" applyBorder="1" applyAlignment="1" applyProtection="1">
      <alignment horizontal="center" vertical="center"/>
    </xf>
    <xf numFmtId="0" fontId="30" fillId="0" borderId="39" xfId="72" applyFont="1" applyBorder="1" applyAlignment="1" applyProtection="1">
      <alignment horizontal="left" wrapText="1" indent="2"/>
    </xf>
    <xf numFmtId="170" fontId="3" fillId="0" borderId="0" xfId="73" applyNumberFormat="1" applyAlignment="1" applyProtection="1">
      <alignment horizontal="center" vertical="center"/>
    </xf>
    <xf numFmtId="0" fontId="3" fillId="0" borderId="0" xfId="72" applyBorder="1" applyProtection="1"/>
    <xf numFmtId="0" fontId="3" fillId="0" borderId="0" xfId="72" applyFont="1" applyBorder="1" applyProtection="1"/>
    <xf numFmtId="0" fontId="3" fillId="0" borderId="0" xfId="72" applyBorder="1" applyAlignment="1" applyProtection="1">
      <alignment horizontal="center"/>
    </xf>
    <xf numFmtId="0" fontId="54" fillId="21" borderId="0" xfId="0" applyFont="1" applyFill="1" applyBorder="1" applyAlignment="1" applyProtection="1"/>
    <xf numFmtId="0" fontId="3" fillId="21" borderId="0" xfId="62" applyFill="1" applyBorder="1" applyAlignment="1" applyProtection="1"/>
    <xf numFmtId="0" fontId="57" fillId="21" borderId="0" xfId="0" applyFont="1" applyFill="1" applyBorder="1" applyAlignment="1" applyProtection="1"/>
    <xf numFmtId="0" fontId="31" fillId="21" borderId="0" xfId="62" applyFont="1" applyFill="1" applyBorder="1" applyAlignment="1" applyProtection="1"/>
    <xf numFmtId="0" fontId="55" fillId="21" borderId="0" xfId="62" applyFont="1" applyFill="1" applyBorder="1" applyAlignment="1" applyProtection="1"/>
    <xf numFmtId="0" fontId="56" fillId="21" borderId="0" xfId="62" applyFont="1" applyFill="1" applyBorder="1" applyAlignment="1" applyProtection="1">
      <alignment horizontal="left"/>
    </xf>
    <xf numFmtId="0" fontId="58" fillId="21" borderId="0" xfId="62" applyFont="1" applyFill="1" applyBorder="1" applyAlignment="1" applyProtection="1">
      <alignment horizontal="left"/>
    </xf>
    <xf numFmtId="0" fontId="56" fillId="21" borderId="77" xfId="62" applyFont="1" applyFill="1" applyBorder="1" applyAlignment="1" applyProtection="1"/>
    <xf numFmtId="0" fontId="3" fillId="21" borderId="77" xfId="62" applyFill="1" applyBorder="1" applyAlignment="1" applyProtection="1"/>
    <xf numFmtId="0" fontId="58" fillId="21" borderId="77" xfId="62" applyFont="1" applyFill="1" applyBorder="1" applyAlignment="1" applyProtection="1">
      <alignment horizontal="left"/>
    </xf>
    <xf numFmtId="0" fontId="30" fillId="0" borderId="0" xfId="62" applyFont="1" applyBorder="1" applyAlignment="1" applyProtection="1">
      <alignment horizontal="center" vertical="center"/>
    </xf>
    <xf numFmtId="0" fontId="30" fillId="0" borderId="0" xfId="62" applyFont="1" applyBorder="1" applyAlignment="1" applyProtection="1">
      <alignment horizontal="centerContinuous" vertical="center"/>
    </xf>
    <xf numFmtId="0" fontId="30" fillId="0" borderId="12" xfId="62" applyFont="1" applyBorder="1" applyAlignment="1" applyProtection="1">
      <alignment horizontal="center" vertical="center" wrapText="1"/>
    </xf>
    <xf numFmtId="0" fontId="30" fillId="0" borderId="29" xfId="62" applyFont="1" applyBorder="1" applyAlignment="1" applyProtection="1">
      <alignment horizontal="center" vertical="center"/>
    </xf>
    <xf numFmtId="0" fontId="30" fillId="0" borderId="30" xfId="62" applyFont="1" applyBorder="1" applyAlignment="1" applyProtection="1">
      <alignment horizontal="center" vertical="center"/>
    </xf>
    <xf numFmtId="0" fontId="30" fillId="0" borderId="38" xfId="62" applyFont="1" applyBorder="1" applyAlignment="1" applyProtection="1">
      <alignment horizontal="center" vertical="center"/>
    </xf>
    <xf numFmtId="0" fontId="30" fillId="0" borderId="0" xfId="62" applyFont="1" applyBorder="1" applyAlignment="1" applyProtection="1">
      <alignment horizontal="center" vertical="center" wrapText="1"/>
    </xf>
    <xf numFmtId="0" fontId="30" fillId="0" borderId="35" xfId="62" applyFont="1" applyFill="1" applyBorder="1" applyAlignment="1" applyProtection="1">
      <alignment horizontal="center" vertical="center"/>
    </xf>
    <xf numFmtId="0" fontId="30" fillId="0" borderId="37" xfId="62" applyFont="1" applyFill="1" applyBorder="1" applyAlignment="1" applyProtection="1">
      <alignment horizontal="center" vertical="center"/>
    </xf>
    <xf numFmtId="0" fontId="30" fillId="0" borderId="36" xfId="62" applyFont="1" applyFill="1" applyBorder="1" applyAlignment="1" applyProtection="1">
      <alignment horizontal="center" vertical="center"/>
    </xf>
    <xf numFmtId="0" fontId="30" fillId="0" borderId="20" xfId="62" applyFont="1" applyFill="1" applyBorder="1" applyAlignment="1" applyProtection="1">
      <alignment horizontal="center" vertical="center"/>
    </xf>
    <xf numFmtId="0" fontId="0" fillId="0" borderId="0" xfId="0" applyBorder="1" applyProtection="1"/>
    <xf numFmtId="0" fontId="30" fillId="0" borderId="0" xfId="62" applyFont="1" applyFill="1" applyBorder="1" applyAlignment="1" applyProtection="1">
      <alignment horizontal="center" vertical="center"/>
    </xf>
    <xf numFmtId="0" fontId="3" fillId="0" borderId="45" xfId="62" applyFill="1" applyBorder="1" applyAlignment="1" applyProtection="1">
      <alignment horizontal="center" vertical="center"/>
    </xf>
    <xf numFmtId="0" fontId="3" fillId="0" borderId="0" xfId="62" applyFill="1" applyBorder="1" applyAlignment="1" applyProtection="1">
      <alignment horizontal="center" vertical="center"/>
    </xf>
    <xf numFmtId="0" fontId="3" fillId="0" borderId="46" xfId="62" applyFill="1" applyBorder="1" applyAlignment="1" applyProtection="1">
      <alignment horizontal="center" vertical="center"/>
    </xf>
    <xf numFmtId="0" fontId="3" fillId="0" borderId="46" xfId="62" applyBorder="1" applyAlignment="1" applyProtection="1">
      <alignment horizontal="center" vertical="center"/>
    </xf>
    <xf numFmtId="9" fontId="3" fillId="0" borderId="46" xfId="1" applyFont="1" applyBorder="1" applyAlignment="1" applyProtection="1">
      <alignment horizontal="center" vertical="center"/>
    </xf>
    <xf numFmtId="9" fontId="3" fillId="0" borderId="0" xfId="1" applyFont="1" applyFill="1" applyBorder="1" applyAlignment="1" applyProtection="1">
      <alignment horizontal="center" vertical="center"/>
    </xf>
    <xf numFmtId="0" fontId="3" fillId="0" borderId="45" xfId="62" applyFont="1" applyBorder="1" applyAlignment="1" applyProtection="1">
      <alignment horizontal="left" vertical="center" wrapText="1" indent="1"/>
    </xf>
    <xf numFmtId="164" fontId="3" fillId="0" borderId="0" xfId="1" applyNumberFormat="1" applyFont="1" applyFill="1" applyBorder="1" applyAlignment="1" applyProtection="1">
      <alignment horizontal="center" vertical="center"/>
    </xf>
    <xf numFmtId="0" fontId="3" fillId="0" borderId="0" xfId="62" applyFont="1" applyProtection="1"/>
    <xf numFmtId="164" fontId="30" fillId="0" borderId="0" xfId="62" applyNumberFormat="1" applyFont="1" applyFill="1" applyBorder="1" applyAlignment="1" applyProtection="1">
      <alignment horizontal="center" vertical="center"/>
    </xf>
    <xf numFmtId="0" fontId="3" fillId="0" borderId="0" xfId="62" applyFont="1" applyFill="1" applyProtection="1"/>
    <xf numFmtId="0" fontId="30" fillId="0" borderId="51" xfId="62" applyFont="1" applyBorder="1" applyAlignment="1" applyProtection="1">
      <alignment horizontal="centerContinuous" vertical="center"/>
    </xf>
    <xf numFmtId="0" fontId="30" fillId="0" borderId="55" xfId="62" applyFont="1" applyBorder="1" applyAlignment="1" applyProtection="1">
      <alignment horizontal="centerContinuous" vertical="center" wrapText="1"/>
    </xf>
    <xf numFmtId="0" fontId="30" fillId="0" borderId="57" xfId="62" applyFont="1" applyBorder="1" applyAlignment="1" applyProtection="1">
      <alignment horizontal="centerContinuous" vertical="center" wrapText="1"/>
    </xf>
    <xf numFmtId="0" fontId="30" fillId="0" borderId="29" xfId="74" applyFont="1" applyFill="1" applyBorder="1" applyAlignment="1" applyProtection="1">
      <alignment horizontal="center"/>
    </xf>
    <xf numFmtId="0" fontId="30" fillId="0" borderId="30" xfId="65" applyFont="1" applyFill="1" applyBorder="1" applyAlignment="1" applyProtection="1">
      <alignment horizontal="center"/>
    </xf>
    <xf numFmtId="0" fontId="30" fillId="0" borderId="38" xfId="65" applyFont="1" applyBorder="1" applyAlignment="1" applyProtection="1">
      <alignment horizontal="center"/>
    </xf>
    <xf numFmtId="0" fontId="30" fillId="0" borderId="29" xfId="65" applyFont="1" applyBorder="1" applyAlignment="1" applyProtection="1">
      <alignment horizontal="center" vertical="center"/>
    </xf>
    <xf numFmtId="0" fontId="30" fillId="0" borderId="38" xfId="65" applyFont="1" applyBorder="1" applyAlignment="1" applyProtection="1">
      <alignment horizontal="center" vertical="center"/>
    </xf>
    <xf numFmtId="0" fontId="3" fillId="27" borderId="65" xfId="65" applyFont="1" applyFill="1" applyBorder="1" applyAlignment="1" applyProtection="1">
      <alignment horizontal="left" vertical="center"/>
    </xf>
    <xf numFmtId="170" fontId="3" fillId="18" borderId="29" xfId="65" applyNumberFormat="1" applyFont="1" applyFill="1" applyBorder="1" applyAlignment="1" applyProtection="1">
      <alignment horizontal="center" vertical="center"/>
    </xf>
    <xf numFmtId="170" fontId="3" fillId="18" borderId="38" xfId="65" applyNumberFormat="1" applyFont="1" applyFill="1" applyBorder="1" applyAlignment="1" applyProtection="1">
      <alignment horizontal="center" vertical="center"/>
    </xf>
    <xf numFmtId="0" fontId="3" fillId="0" borderId="28" xfId="65" applyFont="1" applyFill="1" applyBorder="1" applyAlignment="1" applyProtection="1">
      <alignment horizontal="left" vertical="center"/>
    </xf>
    <xf numFmtId="0" fontId="3" fillId="0" borderId="71" xfId="65" applyFont="1" applyFill="1" applyBorder="1" applyAlignment="1" applyProtection="1">
      <alignment horizontal="left" vertical="center"/>
    </xf>
    <xf numFmtId="10" fontId="3" fillId="0" borderId="39" xfId="65" applyNumberFormat="1" applyFont="1" applyFill="1" applyBorder="1" applyAlignment="1" applyProtection="1">
      <alignment horizontal="center" vertical="center"/>
    </xf>
    <xf numFmtId="10" fontId="3" fillId="0" borderId="40" xfId="65" applyNumberFormat="1" applyFont="1" applyFill="1" applyBorder="1" applyAlignment="1" applyProtection="1">
      <alignment horizontal="center" vertical="center"/>
    </xf>
    <xf numFmtId="10" fontId="3" fillId="0" borderId="41" xfId="65" applyNumberFormat="1" applyFont="1" applyFill="1" applyBorder="1" applyAlignment="1" applyProtection="1">
      <alignment horizontal="center" vertical="center"/>
    </xf>
    <xf numFmtId="1" fontId="3" fillId="18" borderId="39" xfId="65" applyNumberFormat="1" applyFont="1" applyFill="1" applyBorder="1" applyAlignment="1" applyProtection="1">
      <alignment horizontal="center" vertical="center"/>
    </xf>
    <xf numFmtId="1" fontId="3" fillId="18" borderId="41" xfId="65" applyNumberFormat="1" applyFont="1" applyFill="1" applyBorder="1" applyAlignment="1" applyProtection="1">
      <alignment horizontal="center" vertical="center"/>
    </xf>
    <xf numFmtId="0" fontId="3" fillId="0" borderId="0" xfId="63" applyFont="1" applyProtection="1"/>
    <xf numFmtId="0" fontId="3" fillId="0" borderId="28" xfId="65" applyFont="1" applyFill="1" applyBorder="1" applyAlignment="1" applyProtection="1">
      <alignment horizontal="left" vertical="center" wrapText="1"/>
    </xf>
    <xf numFmtId="164" fontId="3" fillId="0" borderId="29" xfId="75" applyNumberFormat="1" applyFont="1" applyFill="1" applyBorder="1" applyAlignment="1" applyProtection="1">
      <alignment horizontal="center" vertical="center"/>
    </xf>
    <xf numFmtId="164" fontId="3" fillId="0" borderId="30" xfId="75" applyNumberFormat="1" applyFont="1" applyFill="1" applyBorder="1" applyAlignment="1" applyProtection="1">
      <alignment horizontal="center" vertical="center"/>
    </xf>
    <xf numFmtId="164" fontId="3" fillId="0" borderId="38" xfId="75" applyNumberFormat="1" applyFont="1" applyFill="1" applyBorder="1" applyAlignment="1" applyProtection="1">
      <alignment horizontal="center" vertical="center"/>
    </xf>
    <xf numFmtId="9" fontId="3" fillId="18" borderId="29" xfId="1" applyFont="1" applyFill="1" applyBorder="1" applyAlignment="1" applyProtection="1">
      <alignment horizontal="center" vertical="center"/>
    </xf>
    <xf numFmtId="9" fontId="3" fillId="18" borderId="38" xfId="1" applyFont="1" applyFill="1" applyBorder="1" applyAlignment="1" applyProtection="1">
      <alignment horizontal="center" vertical="center"/>
    </xf>
    <xf numFmtId="0" fontId="3" fillId="0" borderId="71" xfId="65" applyFont="1" applyBorder="1" applyAlignment="1" applyProtection="1">
      <alignment horizontal="left" vertical="center" wrapText="1"/>
    </xf>
    <xf numFmtId="170" fontId="60" fillId="19" borderId="41" xfId="65" applyNumberFormat="1" applyFont="1" applyFill="1" applyBorder="1" applyAlignment="1" applyProtection="1">
      <alignment horizontal="center" vertical="center"/>
      <protection locked="0"/>
    </xf>
    <xf numFmtId="170" fontId="3" fillId="18" borderId="41" xfId="65" applyNumberFormat="1" applyFont="1" applyFill="1" applyBorder="1" applyAlignment="1" applyProtection="1">
      <alignment horizontal="center" vertical="center"/>
    </xf>
    <xf numFmtId="0" fontId="3" fillId="0" borderId="79" xfId="62" applyBorder="1" applyProtection="1"/>
    <xf numFmtId="0" fontId="30" fillId="0" borderId="66" xfId="62" applyFont="1" applyBorder="1" applyAlignment="1" applyProtection="1">
      <alignment horizontal="center" vertical="center" wrapText="1"/>
    </xf>
    <xf numFmtId="0" fontId="3" fillId="0" borderId="45" xfId="62" applyBorder="1" applyProtection="1"/>
    <xf numFmtId="0" fontId="30" fillId="0" borderId="55" xfId="62" applyFont="1" applyBorder="1" applyAlignment="1" applyProtection="1">
      <alignment horizontal="center" vertical="center" wrapText="1"/>
    </xf>
    <xf numFmtId="0" fontId="30" fillId="0" borderId="56" xfId="62" applyFont="1" applyBorder="1" applyAlignment="1" applyProtection="1">
      <alignment horizontal="center" vertical="center" wrapText="1"/>
    </xf>
    <xf numFmtId="0" fontId="30" fillId="0" borderId="57" xfId="62" applyFont="1" applyBorder="1" applyAlignment="1" applyProtection="1">
      <alignment horizontal="center" vertical="center" wrapText="1"/>
    </xf>
    <xf numFmtId="0" fontId="30" fillId="0" borderId="65" xfId="62" applyFont="1" applyFill="1" applyBorder="1" applyAlignment="1" applyProtection="1">
      <alignment horizontal="center" vertical="center" wrapText="1"/>
    </xf>
    <xf numFmtId="0" fontId="3" fillId="0" borderId="47" xfId="62" applyBorder="1" applyProtection="1"/>
    <xf numFmtId="0" fontId="30" fillId="0" borderId="30" xfId="62" applyNumberFormat="1" applyFont="1" applyFill="1" applyBorder="1" applyAlignment="1" applyProtection="1">
      <alignment horizontal="center" vertical="center" wrapText="1"/>
    </xf>
    <xf numFmtId="0" fontId="30" fillId="0" borderId="10" xfId="62" applyFont="1" applyBorder="1" applyAlignment="1" applyProtection="1">
      <alignment horizontal="center" vertical="center"/>
    </xf>
    <xf numFmtId="0" fontId="30" fillId="0" borderId="52" xfId="62" applyFont="1" applyFill="1" applyBorder="1" applyAlignment="1" applyProtection="1">
      <alignment horizontal="center" vertical="center" wrapText="1"/>
    </xf>
    <xf numFmtId="0" fontId="30" fillId="0" borderId="54" xfId="62" applyFont="1" applyFill="1" applyBorder="1" applyAlignment="1" applyProtection="1">
      <alignment horizontal="center" vertical="center" wrapText="1"/>
    </xf>
    <xf numFmtId="0" fontId="30" fillId="0" borderId="13" xfId="62" applyFont="1" applyFill="1" applyBorder="1" applyAlignment="1" applyProtection="1">
      <alignment horizontal="center" vertical="center" wrapText="1"/>
    </xf>
    <xf numFmtId="0" fontId="30" fillId="0" borderId="10" xfId="62" applyFont="1" applyFill="1" applyBorder="1" applyAlignment="1" applyProtection="1">
      <alignment horizontal="center" vertical="center"/>
    </xf>
    <xf numFmtId="0" fontId="33" fillId="0" borderId="54" xfId="65" applyFont="1" applyFill="1" applyBorder="1" applyAlignment="1" applyProtection="1">
      <alignment horizontal="center" vertical="center"/>
    </xf>
    <xf numFmtId="0" fontId="30" fillId="0" borderId="28" xfId="62" applyFont="1" applyFill="1" applyBorder="1" applyAlignment="1" applyProtection="1">
      <alignment horizontal="center" vertical="center"/>
    </xf>
    <xf numFmtId="0" fontId="30" fillId="0" borderId="28" xfId="62" applyFont="1" applyFill="1" applyBorder="1" applyAlignment="1" applyProtection="1">
      <alignment horizontal="center" vertical="center" wrapText="1"/>
    </xf>
    <xf numFmtId="0" fontId="3" fillId="0" borderId="0" xfId="62" applyProtection="1">
      <protection locked="0"/>
    </xf>
    <xf numFmtId="0" fontId="3" fillId="0" borderId="43" xfId="62" applyBorder="1" applyProtection="1">
      <protection locked="0"/>
    </xf>
    <xf numFmtId="0" fontId="35" fillId="19" borderId="58" xfId="62" applyNumberFormat="1" applyFont="1" applyFill="1" applyBorder="1" applyAlignment="1" applyProtection="1">
      <alignment horizontal="center" vertical="center"/>
      <protection locked="0"/>
    </xf>
    <xf numFmtId="0" fontId="3" fillId="0" borderId="45" xfId="62" applyBorder="1" applyProtection="1">
      <protection locked="0"/>
    </xf>
    <xf numFmtId="0" fontId="35" fillId="19" borderId="43" xfId="62" applyNumberFormat="1" applyFont="1" applyFill="1" applyBorder="1" applyAlignment="1" applyProtection="1">
      <alignment horizontal="center" vertical="center"/>
      <protection locked="0"/>
    </xf>
    <xf numFmtId="171" fontId="35" fillId="19" borderId="39" xfId="62" applyNumberFormat="1" applyFont="1" applyFill="1" applyBorder="1" applyAlignment="1" applyProtection="1">
      <alignment horizontal="center" vertical="center"/>
      <protection locked="0"/>
    </xf>
    <xf numFmtId="171" fontId="35" fillId="19" borderId="40" xfId="62" applyNumberFormat="1" applyFont="1" applyFill="1" applyBorder="1" applyAlignment="1" applyProtection="1">
      <alignment horizontal="center" vertical="center"/>
      <protection locked="0"/>
    </xf>
    <xf numFmtId="171" fontId="35" fillId="19" borderId="41" xfId="62" applyNumberFormat="1" applyFont="1" applyFill="1" applyBorder="1" applyAlignment="1" applyProtection="1">
      <alignment horizontal="center" vertical="center"/>
      <protection locked="0"/>
    </xf>
    <xf numFmtId="0" fontId="3" fillId="18" borderId="85" xfId="62" applyFill="1" applyBorder="1" applyProtection="1">
      <protection locked="0"/>
    </xf>
    <xf numFmtId="0" fontId="3" fillId="18" borderId="85" xfId="62" applyFill="1" applyBorder="1" applyAlignment="1" applyProtection="1">
      <alignment horizontal="center" vertical="center"/>
      <protection locked="0"/>
    </xf>
    <xf numFmtId="0" fontId="3" fillId="20" borderId="40" xfId="62" applyFill="1" applyBorder="1" applyAlignment="1" applyProtection="1">
      <alignment horizontal="center" vertical="center"/>
      <protection locked="0"/>
    </xf>
    <xf numFmtId="1" fontId="3" fillId="18" borderId="40" xfId="62" applyNumberFormat="1" applyFill="1" applyBorder="1" applyAlignment="1" applyProtection="1">
      <alignment horizontal="center" vertical="center"/>
      <protection locked="0"/>
    </xf>
    <xf numFmtId="170" fontId="3" fillId="18" borderId="40" xfId="62" applyNumberFormat="1" applyFill="1" applyBorder="1" applyAlignment="1" applyProtection="1">
      <alignment horizontal="center" vertical="center"/>
      <protection locked="0"/>
    </xf>
    <xf numFmtId="170" fontId="3" fillId="18" borderId="41" xfId="62" applyNumberFormat="1" applyFill="1" applyBorder="1" applyAlignment="1" applyProtection="1">
      <alignment horizontal="center" vertical="center"/>
      <protection locked="0"/>
    </xf>
    <xf numFmtId="2" fontId="3" fillId="18" borderId="42" xfId="62" applyNumberFormat="1" applyFill="1" applyBorder="1" applyAlignment="1" applyProtection="1">
      <alignment horizontal="center" vertical="center"/>
      <protection locked="0"/>
    </xf>
    <xf numFmtId="2" fontId="3" fillId="18" borderId="40" xfId="62" applyNumberFormat="1" applyFill="1" applyBorder="1" applyAlignment="1" applyProtection="1">
      <alignment horizontal="center" vertical="center"/>
      <protection locked="0"/>
    </xf>
    <xf numFmtId="2" fontId="3" fillId="18" borderId="64" xfId="62" applyNumberFormat="1" applyFill="1" applyBorder="1" applyAlignment="1" applyProtection="1">
      <alignment horizontal="center" vertical="center"/>
      <protection locked="0"/>
    </xf>
    <xf numFmtId="2" fontId="3" fillId="18" borderId="85" xfId="62" applyNumberFormat="1" applyFill="1" applyBorder="1" applyAlignment="1" applyProtection="1">
      <alignment horizontal="center" vertical="center"/>
      <protection locked="0"/>
    </xf>
    <xf numFmtId="2" fontId="0" fillId="18" borderId="40" xfId="0" applyNumberFormat="1" applyFill="1" applyBorder="1" applyAlignment="1" applyProtection="1">
      <alignment horizontal="center" vertical="center"/>
      <protection locked="0"/>
    </xf>
    <xf numFmtId="2" fontId="3" fillId="18" borderId="78" xfId="62" applyNumberFormat="1" applyFill="1" applyBorder="1" applyAlignment="1" applyProtection="1">
      <alignment horizontal="center" vertical="center"/>
      <protection locked="0"/>
    </xf>
    <xf numFmtId="2" fontId="3" fillId="20" borderId="86" xfId="62" applyNumberFormat="1" applyFill="1" applyBorder="1" applyAlignment="1" applyProtection="1">
      <alignment horizontal="center" vertical="center"/>
      <protection locked="0"/>
    </xf>
    <xf numFmtId="2" fontId="3" fillId="20" borderId="71" xfId="62" applyNumberFormat="1" applyFill="1" applyBorder="1" applyAlignment="1" applyProtection="1">
      <alignment horizontal="center" vertical="center"/>
      <protection locked="0"/>
    </xf>
    <xf numFmtId="0" fontId="3" fillId="20" borderId="71" xfId="62" applyFill="1" applyBorder="1" applyAlignment="1" applyProtection="1">
      <alignment horizontal="center" vertical="center"/>
      <protection locked="0"/>
    </xf>
    <xf numFmtId="0" fontId="3" fillId="0" borderId="87" xfId="63" applyFont="1" applyBorder="1" applyAlignment="1" applyProtection="1">
      <alignment horizontal="centerContinuous" vertical="center"/>
    </xf>
    <xf numFmtId="0" fontId="3" fillId="0" borderId="56" xfId="63" applyFont="1" applyBorder="1" applyAlignment="1" applyProtection="1">
      <alignment horizontal="centerContinuous" vertical="center"/>
    </xf>
    <xf numFmtId="0" fontId="3" fillId="0" borderId="57" xfId="63" applyFont="1" applyBorder="1" applyAlignment="1" applyProtection="1">
      <alignment horizontal="centerContinuous" vertical="center"/>
    </xf>
    <xf numFmtId="0" fontId="3" fillId="0" borderId="55" xfId="63" applyFont="1" applyBorder="1" applyAlignment="1" applyProtection="1">
      <alignment horizontal="centerContinuous" vertical="center"/>
    </xf>
    <xf numFmtId="0" fontId="3" fillId="0" borderId="12" xfId="63" applyFont="1" applyBorder="1" applyAlignment="1" applyProtection="1">
      <alignment horizontal="center"/>
    </xf>
    <xf numFmtId="0" fontId="3" fillId="0" borderId="30" xfId="63" applyFont="1" applyBorder="1" applyAlignment="1" applyProtection="1">
      <alignment horizontal="center"/>
    </xf>
    <xf numFmtId="0" fontId="3" fillId="0" borderId="38" xfId="63" applyFont="1" applyBorder="1" applyAlignment="1" applyProtection="1">
      <alignment horizontal="center"/>
    </xf>
    <xf numFmtId="0" fontId="3" fillId="0" borderId="29" xfId="63" applyFont="1" applyBorder="1" applyAlignment="1" applyProtection="1">
      <alignment horizontal="center"/>
    </xf>
    <xf numFmtId="0" fontId="3" fillId="0" borderId="51" xfId="62" applyFont="1" applyBorder="1" applyAlignment="1" applyProtection="1">
      <alignment horizontal="centerContinuous" vertical="center"/>
    </xf>
    <xf numFmtId="0" fontId="3" fillId="0" borderId="50" xfId="62" applyFont="1" applyBorder="1" applyAlignment="1" applyProtection="1">
      <alignment horizontal="centerContinuous" vertical="center"/>
    </xf>
    <xf numFmtId="0" fontId="37" fillId="0" borderId="0" xfId="0" applyFont="1" applyBorder="1" applyProtection="1"/>
    <xf numFmtId="0" fontId="30" fillId="0" borderId="45" xfId="62" applyFont="1" applyBorder="1" applyAlignment="1" applyProtection="1">
      <alignment horizontal="left" indent="1"/>
    </xf>
    <xf numFmtId="0" fontId="3" fillId="0" borderId="45" xfId="62" applyFont="1" applyFill="1" applyBorder="1" applyAlignment="1" applyProtection="1">
      <alignment horizontal="center" vertical="center"/>
    </xf>
    <xf numFmtId="0" fontId="3" fillId="0" borderId="0" xfId="62" applyFont="1" applyFill="1" applyBorder="1" applyAlignment="1" applyProtection="1">
      <alignment horizontal="center" vertical="center"/>
    </xf>
    <xf numFmtId="0" fontId="3" fillId="0" borderId="46" xfId="62" applyFont="1" applyFill="1" applyBorder="1" applyAlignment="1" applyProtection="1">
      <alignment horizontal="center" vertical="center"/>
    </xf>
    <xf numFmtId="0" fontId="3" fillId="0" borderId="0" xfId="62" applyFont="1" applyBorder="1" applyAlignment="1" applyProtection="1">
      <alignment horizontal="center" vertical="center"/>
    </xf>
    <xf numFmtId="0" fontId="3" fillId="0" borderId="46" xfId="62" applyFont="1" applyBorder="1" applyAlignment="1" applyProtection="1">
      <alignment horizontal="center" vertical="center"/>
    </xf>
    <xf numFmtId="0" fontId="3" fillId="0" borderId="30" xfId="62" applyFont="1" applyBorder="1" applyAlignment="1" applyProtection="1">
      <alignment horizontal="left" wrapText="1" indent="1"/>
    </xf>
    <xf numFmtId="0" fontId="30" fillId="0" borderId="30" xfId="62" applyFont="1" applyBorder="1" applyAlignment="1" applyProtection="1">
      <alignment horizontal="left" indent="1"/>
    </xf>
    <xf numFmtId="0" fontId="61" fillId="21" borderId="0" xfId="0" applyFont="1" applyFill="1" applyBorder="1" applyAlignment="1" applyProtection="1"/>
    <xf numFmtId="0" fontId="56" fillId="21" borderId="0" xfId="0" applyFont="1" applyFill="1" applyBorder="1" applyAlignment="1" applyProtection="1"/>
    <xf numFmtId="0" fontId="56" fillId="21" borderId="77" xfId="0" applyFont="1" applyFill="1" applyBorder="1" applyAlignment="1" applyProtection="1">
      <alignment horizontal="left"/>
    </xf>
    <xf numFmtId="0" fontId="61" fillId="21" borderId="77" xfId="0" applyFont="1" applyFill="1" applyBorder="1" applyAlignment="1" applyProtection="1"/>
    <xf numFmtId="0" fontId="30" fillId="0" borderId="0" xfId="0" applyFont="1" applyFill="1" applyBorder="1" applyAlignment="1" applyProtection="1">
      <alignment horizontal="left"/>
    </xf>
    <xf numFmtId="0" fontId="37" fillId="0" borderId="0" xfId="0" applyFont="1" applyFill="1" applyBorder="1" applyAlignment="1" applyProtection="1"/>
    <xf numFmtId="0" fontId="30" fillId="0" borderId="0" xfId="0" applyFont="1" applyFill="1" applyBorder="1" applyAlignment="1" applyProtection="1">
      <alignment horizontal="left" vertical="center"/>
    </xf>
    <xf numFmtId="0" fontId="30" fillId="0" borderId="0" xfId="65" applyFont="1" applyFill="1" applyBorder="1" applyAlignment="1" applyProtection="1">
      <alignment horizontal="left" vertical="center"/>
    </xf>
    <xf numFmtId="0" fontId="37" fillId="0" borderId="0" xfId="0" applyFont="1" applyFill="1" applyBorder="1" applyAlignment="1" applyProtection="1">
      <alignment vertical="center"/>
    </xf>
    <xf numFmtId="0" fontId="3" fillId="0" borderId="0" xfId="76" applyFont="1" applyAlignment="1" applyProtection="1">
      <alignment vertical="center"/>
    </xf>
    <xf numFmtId="0" fontId="3" fillId="0" borderId="0" xfId="63" applyFont="1" applyAlignment="1" applyProtection="1">
      <alignment vertical="center"/>
    </xf>
    <xf numFmtId="0" fontId="3" fillId="0" borderId="36" xfId="77" applyFont="1" applyFill="1" applyBorder="1" applyAlignment="1" applyProtection="1">
      <alignment vertical="center"/>
    </xf>
    <xf numFmtId="0" fontId="3" fillId="0" borderId="38" xfId="77" applyFont="1" applyFill="1" applyBorder="1" applyAlignment="1" applyProtection="1">
      <alignment vertical="center"/>
    </xf>
    <xf numFmtId="0" fontId="3" fillId="0" borderId="38" xfId="77" applyFont="1" applyBorder="1" applyAlignment="1" applyProtection="1">
      <alignment vertical="center"/>
    </xf>
    <xf numFmtId="0" fontId="30" fillId="0" borderId="85" xfId="77" applyFont="1" applyBorder="1" applyAlignment="1" applyProtection="1">
      <alignment vertical="center"/>
    </xf>
    <xf numFmtId="0" fontId="30" fillId="0" borderId="64" xfId="77" applyFont="1" applyBorder="1" applyAlignment="1" applyProtection="1">
      <alignment vertical="center"/>
    </xf>
    <xf numFmtId="0" fontId="30" fillId="0" borderId="0" xfId="77" applyFont="1" applyBorder="1" applyAlignment="1" applyProtection="1">
      <alignment vertical="center"/>
    </xf>
    <xf numFmtId="0" fontId="3" fillId="0" borderId="53" xfId="77" applyFont="1" applyBorder="1" applyAlignment="1" applyProtection="1">
      <alignment vertical="center"/>
    </xf>
    <xf numFmtId="0" fontId="30" fillId="0" borderId="84" xfId="77" applyFont="1" applyBorder="1" applyAlignment="1" applyProtection="1">
      <alignment vertical="center"/>
    </xf>
    <xf numFmtId="0" fontId="30" fillId="0" borderId="67" xfId="77" applyFont="1" applyBorder="1" applyAlignment="1" applyProtection="1">
      <alignment vertical="center"/>
    </xf>
    <xf numFmtId="0" fontId="3" fillId="0" borderId="38" xfId="65" applyFont="1" applyFill="1" applyBorder="1" applyAlignment="1" applyProtection="1">
      <alignment horizontal="left" vertical="center"/>
    </xf>
    <xf numFmtId="1" fontId="3" fillId="0" borderId="38" xfId="63" applyNumberFormat="1" applyFont="1" applyBorder="1" applyAlignment="1" applyProtection="1">
      <alignment vertical="center"/>
    </xf>
    <xf numFmtId="0" fontId="30" fillId="0" borderId="29" xfId="65" applyFont="1" applyFill="1" applyBorder="1" applyAlignment="1" applyProtection="1">
      <alignment vertical="center"/>
    </xf>
    <xf numFmtId="0" fontId="38" fillId="0" borderId="39" xfId="0" applyFont="1" applyBorder="1" applyAlignment="1" applyProtection="1">
      <alignment vertical="center"/>
    </xf>
    <xf numFmtId="1" fontId="3" fillId="0" borderId="41" xfId="63" applyNumberFormat="1" applyFont="1" applyBorder="1" applyAlignment="1" applyProtection="1">
      <alignment vertical="center"/>
    </xf>
    <xf numFmtId="0" fontId="30" fillId="0" borderId="45" xfId="61" applyFont="1" applyBorder="1" applyAlignment="1" applyProtection="1">
      <alignment vertical="center"/>
    </xf>
    <xf numFmtId="0" fontId="30" fillId="0" borderId="46" xfId="61" applyFont="1" applyBorder="1" applyAlignment="1" applyProtection="1">
      <alignment vertical="center"/>
    </xf>
    <xf numFmtId="0" fontId="3" fillId="0" borderId="46" xfId="61" applyFont="1" applyBorder="1" applyAlignment="1" applyProtection="1">
      <alignment horizontal="left" vertical="center"/>
    </xf>
    <xf numFmtId="0" fontId="62" fillId="19" borderId="46" xfId="61" applyFont="1" applyFill="1" applyBorder="1" applyAlignment="1" applyProtection="1">
      <alignment horizontal="left" vertical="center"/>
    </xf>
    <xf numFmtId="0" fontId="3" fillId="0" borderId="76" xfId="65" applyFont="1" applyFill="1" applyBorder="1" applyAlignment="1" applyProtection="1">
      <alignment horizontal="left" vertical="center"/>
    </xf>
    <xf numFmtId="0" fontId="62" fillId="19" borderId="78" xfId="61" applyFont="1" applyFill="1" applyBorder="1" applyAlignment="1" applyProtection="1">
      <alignment horizontal="left" vertical="center"/>
    </xf>
    <xf numFmtId="0" fontId="3" fillId="0" borderId="0" xfId="76" applyFont="1" applyProtection="1"/>
    <xf numFmtId="1" fontId="3" fillId="0" borderId="0" xfId="63" applyNumberFormat="1" applyFont="1" applyProtection="1"/>
    <xf numFmtId="0" fontId="27" fillId="0" borderId="0" xfId="76" applyFont="1" applyProtection="1"/>
    <xf numFmtId="0" fontId="27" fillId="0" borderId="0" xfId="65" applyFont="1" applyFill="1" applyBorder="1" applyAlignment="1" applyProtection="1">
      <alignment horizontal="left" vertical="center"/>
    </xf>
    <xf numFmtId="1" fontId="27" fillId="0" borderId="0" xfId="63" applyNumberFormat="1" applyFont="1" applyProtection="1"/>
    <xf numFmtId="0" fontId="27" fillId="0" borderId="0" xfId="63" applyFont="1" applyProtection="1"/>
    <xf numFmtId="0" fontId="54" fillId="21" borderId="0" xfId="78" applyFont="1" applyFill="1" applyBorder="1" applyAlignment="1" applyProtection="1"/>
    <xf numFmtId="0" fontId="56" fillId="21" borderId="0" xfId="79" applyFont="1" applyFill="1" applyBorder="1" applyAlignment="1" applyProtection="1"/>
    <xf numFmtId="0" fontId="27" fillId="21" borderId="0" xfId="79" applyFont="1" applyFill="1" applyBorder="1" applyAlignment="1" applyProtection="1"/>
    <xf numFmtId="0" fontId="63" fillId="21" borderId="0" xfId="79" applyFont="1" applyFill="1" applyBorder="1" applyAlignment="1" applyProtection="1"/>
    <xf numFmtId="0" fontId="3" fillId="21" borderId="0" xfId="79" applyFont="1" applyFill="1" applyBorder="1" applyAlignment="1" applyProtection="1"/>
    <xf numFmtId="0" fontId="56" fillId="21" borderId="0" xfId="79" applyFont="1" applyFill="1" applyBorder="1" applyAlignment="1" applyProtection="1">
      <alignment horizontal="left"/>
    </xf>
    <xf numFmtId="0" fontId="56" fillId="21" borderId="77" xfId="79" applyFont="1" applyFill="1" applyBorder="1" applyAlignment="1" applyProtection="1"/>
    <xf numFmtId="0" fontId="63" fillId="21" borderId="77" xfId="79" applyFont="1" applyFill="1" applyBorder="1" applyAlignment="1" applyProtection="1">
      <alignment horizontal="left"/>
    </xf>
    <xf numFmtId="0" fontId="3" fillId="21" borderId="77" xfId="79" applyFont="1" applyFill="1" applyBorder="1" applyAlignment="1" applyProtection="1"/>
    <xf numFmtId="0" fontId="3" fillId="21" borderId="77" xfId="79" applyFont="1" applyFill="1" applyBorder="1" applyProtection="1"/>
    <xf numFmtId="0" fontId="3" fillId="0" borderId="0" xfId="79" applyFont="1" applyAlignment="1" applyProtection="1">
      <alignment vertical="center"/>
    </xf>
    <xf numFmtId="0" fontId="30" fillId="0" borderId="0" xfId="79" applyFont="1" applyAlignment="1" applyProtection="1">
      <alignment vertical="center"/>
    </xf>
    <xf numFmtId="0" fontId="30" fillId="0" borderId="49" xfId="80" applyFont="1" applyBorder="1" applyAlignment="1" applyProtection="1">
      <alignment horizontal="centerContinuous" vertical="center"/>
    </xf>
    <xf numFmtId="0" fontId="30" fillId="0" borderId="50" xfId="80" applyFont="1" applyBorder="1" applyAlignment="1" applyProtection="1">
      <alignment horizontal="centerContinuous" vertical="center"/>
    </xf>
    <xf numFmtId="0" fontId="3" fillId="0" borderId="51" xfId="80" applyFont="1" applyBorder="1" applyAlignment="1" applyProtection="1">
      <alignment horizontal="centerContinuous" vertical="center"/>
    </xf>
    <xf numFmtId="0" fontId="3" fillId="0" borderId="50" xfId="80" applyFont="1" applyBorder="1" applyAlignment="1" applyProtection="1">
      <alignment horizontal="centerContinuous" vertical="center"/>
    </xf>
    <xf numFmtId="0" fontId="30" fillId="0" borderId="29" xfId="80" applyFont="1" applyBorder="1" applyAlignment="1" applyProtection="1">
      <alignment horizontal="center" vertical="center" wrapText="1"/>
    </xf>
    <xf numFmtId="0" fontId="30" fillId="0" borderId="30" xfId="80" applyFont="1" applyBorder="1" applyAlignment="1" applyProtection="1">
      <alignment horizontal="center" vertical="center" wrapText="1"/>
    </xf>
    <xf numFmtId="0" fontId="30" fillId="0" borderId="38" xfId="80" applyFont="1" applyBorder="1" applyAlignment="1" applyProtection="1">
      <alignment horizontal="center" vertical="center" wrapText="1"/>
    </xf>
    <xf numFmtId="0" fontId="30" fillId="0" borderId="29" xfId="79" applyFont="1" applyBorder="1" applyAlignment="1" applyProtection="1">
      <alignment horizontal="left" vertical="center" wrapText="1"/>
    </xf>
    <xf numFmtId="0" fontId="3" fillId="0" borderId="38" xfId="79" applyNumberFormat="1" applyFont="1" applyBorder="1" applyAlignment="1" applyProtection="1">
      <alignment vertical="center" wrapText="1"/>
    </xf>
    <xf numFmtId="170" fontId="37" fillId="0" borderId="58" xfId="81" applyNumberFormat="1" applyFont="1" applyFill="1" applyBorder="1" applyAlignment="1" applyProtection="1">
      <alignment horizontal="center" vertical="center"/>
    </xf>
    <xf numFmtId="170" fontId="37" fillId="0" borderId="11" xfId="81" applyNumberFormat="1" applyFont="1" applyFill="1" applyBorder="1" applyAlignment="1" applyProtection="1">
      <alignment horizontal="center" vertical="center"/>
    </xf>
    <xf numFmtId="170" fontId="37" fillId="0" borderId="59" xfId="81" applyNumberFormat="1" applyFont="1" applyFill="1" applyBorder="1" applyAlignment="1" applyProtection="1">
      <alignment horizontal="center" vertical="center"/>
    </xf>
    <xf numFmtId="0" fontId="3" fillId="0" borderId="29" xfId="79" applyFont="1" applyBorder="1" applyAlignment="1" applyProtection="1">
      <alignment horizontal="left" vertical="center" wrapText="1"/>
    </xf>
    <xf numFmtId="170" fontId="37" fillId="0" borderId="29" xfId="81" applyNumberFormat="1" applyFont="1" applyFill="1" applyBorder="1" applyAlignment="1" applyProtection="1">
      <alignment horizontal="center" vertical="center"/>
    </xf>
    <xf numFmtId="170" fontId="37" fillId="0" borderId="12" xfId="81" applyNumberFormat="1" applyFont="1" applyFill="1" applyBorder="1" applyAlignment="1" applyProtection="1">
      <alignment horizontal="center" vertical="center"/>
    </xf>
    <xf numFmtId="170" fontId="37" fillId="0" borderId="30" xfId="81" applyNumberFormat="1" applyFont="1" applyFill="1" applyBorder="1" applyAlignment="1" applyProtection="1">
      <alignment horizontal="center" vertical="center"/>
    </xf>
    <xf numFmtId="170" fontId="37" fillId="0" borderId="38" xfId="81" applyNumberFormat="1" applyFont="1" applyFill="1" applyBorder="1" applyAlignment="1" applyProtection="1">
      <alignment horizontal="center" vertical="center"/>
    </xf>
    <xf numFmtId="170" fontId="35" fillId="19" borderId="12" xfId="81" applyNumberFormat="1" applyFont="1" applyFill="1" applyBorder="1" applyAlignment="1" applyProtection="1">
      <alignment horizontal="center" vertical="center"/>
      <protection locked="0"/>
    </xf>
    <xf numFmtId="170" fontId="35" fillId="19" borderId="59" xfId="81" applyNumberFormat="1" applyFont="1" applyFill="1" applyBorder="1" applyAlignment="1" applyProtection="1">
      <alignment horizontal="center" vertical="center"/>
      <protection locked="0"/>
    </xf>
    <xf numFmtId="170" fontId="35" fillId="19" borderId="29" xfId="81" applyNumberFormat="1" applyFont="1" applyFill="1" applyBorder="1" applyAlignment="1" applyProtection="1">
      <alignment horizontal="center" vertical="center"/>
      <protection locked="0"/>
    </xf>
    <xf numFmtId="170" fontId="35" fillId="19" borderId="30" xfId="81" applyNumberFormat="1" applyFont="1" applyFill="1" applyBorder="1" applyAlignment="1" applyProtection="1">
      <alignment horizontal="center" vertical="center"/>
      <protection locked="0"/>
    </xf>
    <xf numFmtId="170" fontId="35" fillId="19" borderId="38" xfId="81" applyNumberFormat="1" applyFont="1" applyFill="1" applyBorder="1" applyAlignment="1" applyProtection="1">
      <alignment horizontal="center" vertical="center"/>
      <protection locked="0"/>
    </xf>
    <xf numFmtId="0" fontId="35" fillId="19" borderId="29" xfId="79" applyFont="1" applyFill="1" applyBorder="1" applyAlignment="1" applyProtection="1">
      <alignment horizontal="left" vertical="center" wrapText="1"/>
      <protection locked="0"/>
    </xf>
    <xf numFmtId="0" fontId="3" fillId="0" borderId="38" xfId="79" applyNumberFormat="1" applyFont="1" applyBorder="1" applyAlignment="1" applyProtection="1">
      <alignment vertical="center" wrapText="1"/>
      <protection locked="0"/>
    </xf>
    <xf numFmtId="0" fontId="3" fillId="0" borderId="0" xfId="79" applyFont="1" applyAlignment="1" applyProtection="1">
      <alignment vertical="center"/>
      <protection locked="0"/>
    </xf>
    <xf numFmtId="170" fontId="35" fillId="19" borderId="15" xfId="81" applyNumberFormat="1" applyFont="1" applyFill="1" applyBorder="1" applyAlignment="1" applyProtection="1">
      <alignment horizontal="center" vertical="center"/>
      <protection locked="0"/>
    </xf>
    <xf numFmtId="170" fontId="35" fillId="19" borderId="14" xfId="81" applyNumberFormat="1" applyFont="1" applyFill="1" applyBorder="1" applyAlignment="1" applyProtection="1">
      <alignment horizontal="center" vertical="center"/>
      <protection locked="0"/>
    </xf>
    <xf numFmtId="170" fontId="35" fillId="19" borderId="52" xfId="81" applyNumberFormat="1" applyFont="1" applyFill="1" applyBorder="1" applyAlignment="1" applyProtection="1">
      <alignment horizontal="center" vertical="center"/>
      <protection locked="0"/>
    </xf>
    <xf numFmtId="170" fontId="35" fillId="19" borderId="54" xfId="81" applyNumberFormat="1" applyFont="1" applyFill="1" applyBorder="1" applyAlignment="1" applyProtection="1">
      <alignment horizontal="center" vertical="center"/>
      <protection locked="0"/>
    </xf>
    <xf numFmtId="170" fontId="35" fillId="19" borderId="53" xfId="81" applyNumberFormat="1" applyFont="1" applyFill="1" applyBorder="1" applyAlignment="1" applyProtection="1">
      <alignment horizontal="center" vertical="center"/>
      <protection locked="0"/>
    </xf>
    <xf numFmtId="0" fontId="30" fillId="0" borderId="85" xfId="79" applyFont="1" applyBorder="1" applyAlignment="1" applyProtection="1">
      <alignment horizontal="left" vertical="center"/>
      <protection locked="0"/>
    </xf>
    <xf numFmtId="0" fontId="3" fillId="0" borderId="41" xfId="79" applyNumberFormat="1" applyFont="1" applyBorder="1" applyAlignment="1" applyProtection="1">
      <alignment vertical="center" wrapText="1"/>
      <protection locked="0"/>
    </xf>
    <xf numFmtId="170" fontId="30" fillId="18" borderId="39" xfId="79" applyNumberFormat="1" applyFont="1" applyFill="1" applyBorder="1" applyAlignment="1" applyProtection="1">
      <alignment horizontal="center" vertical="center"/>
      <protection locked="0"/>
    </xf>
    <xf numFmtId="170" fontId="30" fillId="18" borderId="40" xfId="79" applyNumberFormat="1" applyFont="1" applyFill="1" applyBorder="1" applyAlignment="1" applyProtection="1">
      <alignment horizontal="center" vertical="center"/>
      <protection locked="0"/>
    </xf>
    <xf numFmtId="170" fontId="30" fillId="18" borderId="41" xfId="79" applyNumberFormat="1" applyFont="1" applyFill="1" applyBorder="1" applyAlignment="1" applyProtection="1">
      <alignment horizontal="center" vertical="center"/>
      <protection locked="0"/>
    </xf>
    <xf numFmtId="0" fontId="30" fillId="0" borderId="0" xfId="79" applyFont="1" applyAlignment="1" applyProtection="1">
      <alignment horizontal="left" vertical="center"/>
    </xf>
    <xf numFmtId="0" fontId="3" fillId="0" borderId="0" xfId="79" applyNumberFormat="1" applyFont="1" applyAlignment="1" applyProtection="1">
      <alignment vertical="center" wrapText="1"/>
    </xf>
    <xf numFmtId="0" fontId="3" fillId="0" borderId="0" xfId="79" applyFont="1" applyFill="1" applyAlignment="1" applyProtection="1">
      <alignment vertical="center"/>
    </xf>
    <xf numFmtId="0" fontId="38" fillId="0" borderId="0" xfId="78" applyFont="1" applyAlignment="1" applyProtection="1">
      <alignment vertical="center"/>
    </xf>
    <xf numFmtId="0" fontId="30" fillId="0" borderId="12" xfId="80" applyFont="1" applyBorder="1" applyAlignment="1" applyProtection="1">
      <alignment horizontal="center" vertical="center" wrapText="1"/>
    </xf>
    <xf numFmtId="0" fontId="3" fillId="0" borderId="53" xfId="79" applyNumberFormat="1" applyFont="1" applyBorder="1" applyAlignment="1" applyProtection="1">
      <alignment vertical="center" wrapText="1"/>
    </xf>
    <xf numFmtId="0" fontId="30" fillId="0" borderId="76" xfId="79" applyFont="1" applyBorder="1" applyAlignment="1" applyProtection="1">
      <alignment horizontal="left" vertical="center"/>
    </xf>
    <xf numFmtId="0" fontId="3" fillId="0" borderId="41" xfId="79" applyNumberFormat="1" applyFont="1" applyBorder="1" applyAlignment="1" applyProtection="1">
      <alignment vertical="center" wrapText="1"/>
    </xf>
    <xf numFmtId="170" fontId="30" fillId="18" borderId="42" xfId="79" applyNumberFormat="1" applyFont="1" applyFill="1" applyBorder="1" applyAlignment="1" applyProtection="1">
      <alignment horizontal="center" vertical="center"/>
    </xf>
    <xf numFmtId="170" fontId="30" fillId="18" borderId="40" xfId="79" applyNumberFormat="1" applyFont="1" applyFill="1" applyBorder="1" applyAlignment="1" applyProtection="1">
      <alignment horizontal="center" vertical="center"/>
    </xf>
    <xf numFmtId="170" fontId="30" fillId="18" borderId="41" xfId="79" applyNumberFormat="1" applyFont="1" applyFill="1" applyBorder="1" applyAlignment="1" applyProtection="1">
      <alignment horizontal="center" vertical="center"/>
    </xf>
    <xf numFmtId="170" fontId="30" fillId="18" borderId="39" xfId="79" applyNumberFormat="1" applyFont="1" applyFill="1" applyBorder="1" applyAlignment="1" applyProtection="1">
      <alignment horizontal="center" vertical="center"/>
    </xf>
    <xf numFmtId="170" fontId="35" fillId="19" borderId="12" xfId="81" applyNumberFormat="1" applyFont="1" applyFill="1" applyBorder="1" applyAlignment="1" applyProtection="1">
      <alignment vertical="center"/>
      <protection locked="0"/>
    </xf>
    <xf numFmtId="170" fontId="35" fillId="19" borderId="30" xfId="81" applyNumberFormat="1" applyFont="1" applyFill="1" applyBorder="1" applyAlignment="1" applyProtection="1">
      <alignment vertical="center"/>
      <protection locked="0"/>
    </xf>
    <xf numFmtId="0" fontId="3" fillId="0" borderId="49" xfId="79" applyFont="1" applyBorder="1" applyAlignment="1" applyProtection="1">
      <alignment vertical="center"/>
    </xf>
    <xf numFmtId="0" fontId="30" fillId="0" borderId="55" xfId="79" applyFont="1" applyBorder="1" applyAlignment="1" applyProtection="1">
      <alignment horizontal="center" vertical="center" wrapText="1"/>
    </xf>
    <xf numFmtId="0" fontId="30" fillId="0" borderId="56" xfId="79" applyFont="1" applyBorder="1" applyAlignment="1" applyProtection="1">
      <alignment horizontal="center" vertical="center" wrapText="1"/>
    </xf>
    <xf numFmtId="0" fontId="30" fillId="0" borderId="57" xfId="79" applyFont="1" applyBorder="1" applyAlignment="1" applyProtection="1">
      <alignment horizontal="center" vertical="center" wrapText="1"/>
    </xf>
    <xf numFmtId="0" fontId="3" fillId="0" borderId="58" xfId="79" applyFont="1" applyBorder="1" applyAlignment="1" applyProtection="1">
      <alignment horizontal="left" vertical="center" wrapText="1"/>
    </xf>
    <xf numFmtId="1" fontId="3" fillId="0" borderId="29" xfId="81" applyNumberFormat="1" applyFont="1" applyFill="1" applyBorder="1" applyAlignment="1" applyProtection="1">
      <alignment horizontal="center" vertical="center"/>
    </xf>
    <xf numFmtId="1" fontId="3" fillId="0" borderId="30" xfId="81" applyNumberFormat="1" applyFont="1" applyFill="1" applyBorder="1" applyAlignment="1" applyProtection="1">
      <alignment horizontal="center" vertical="center"/>
    </xf>
    <xf numFmtId="1" fontId="35" fillId="19" borderId="30" xfId="81" applyNumberFormat="1" applyFont="1" applyFill="1" applyBorder="1" applyAlignment="1" applyProtection="1">
      <alignment horizontal="center" vertical="center"/>
      <protection locked="0"/>
    </xf>
    <xf numFmtId="1" fontId="3" fillId="0" borderId="38" xfId="81" applyNumberFormat="1" applyFont="1" applyFill="1" applyBorder="1" applyAlignment="1" applyProtection="1">
      <alignment horizontal="center" vertical="center"/>
    </xf>
    <xf numFmtId="0" fontId="30" fillId="0" borderId="85" xfId="79" applyFont="1" applyBorder="1" applyAlignment="1" applyProtection="1">
      <alignment horizontal="left" vertical="center"/>
    </xf>
    <xf numFmtId="1" fontId="30" fillId="18" borderId="39" xfId="79" applyNumberFormat="1" applyFont="1" applyFill="1" applyBorder="1" applyAlignment="1" applyProtection="1">
      <alignment horizontal="center" vertical="center" wrapText="1"/>
    </xf>
    <xf numFmtId="1" fontId="30" fillId="18" borderId="40" xfId="79" applyNumberFormat="1" applyFont="1" applyFill="1" applyBorder="1" applyAlignment="1" applyProtection="1">
      <alignment horizontal="center" vertical="center" wrapText="1"/>
    </xf>
    <xf numFmtId="1" fontId="30" fillId="18" borderId="41" xfId="79" applyNumberFormat="1" applyFont="1" applyFill="1" applyBorder="1" applyAlignment="1" applyProtection="1">
      <alignment horizontal="center" vertical="center" wrapText="1"/>
    </xf>
    <xf numFmtId="0" fontId="30" fillId="0" borderId="0" xfId="79" applyFont="1" applyBorder="1" applyAlignment="1" applyProtection="1">
      <alignment vertical="center"/>
    </xf>
    <xf numFmtId="0" fontId="30" fillId="0" borderId="52" xfId="79" applyFont="1" applyBorder="1" applyAlignment="1" applyProtection="1">
      <alignment horizontal="center" vertical="center" wrapText="1"/>
    </xf>
    <xf numFmtId="0" fontId="3" fillId="0" borderId="70" xfId="79" applyFont="1" applyBorder="1" applyAlignment="1" applyProtection="1">
      <alignment horizontal="center" vertical="center" wrapText="1"/>
    </xf>
    <xf numFmtId="0" fontId="30" fillId="0" borderId="26" xfId="79" applyFont="1" applyBorder="1" applyAlignment="1" applyProtection="1">
      <alignment horizontal="center" vertical="center" wrapText="1"/>
    </xf>
    <xf numFmtId="0" fontId="30" fillId="0" borderId="54" xfId="79" applyFont="1" applyFill="1" applyBorder="1" applyAlignment="1" applyProtection="1">
      <alignment horizontal="center" vertical="center" wrapText="1"/>
    </xf>
    <xf numFmtId="0" fontId="30" fillId="0" borderId="30" xfId="79" applyFont="1" applyFill="1" applyBorder="1" applyAlignment="1" applyProtection="1">
      <alignment horizontal="center" vertical="center" wrapText="1"/>
    </xf>
    <xf numFmtId="0" fontId="30" fillId="0" borderId="38" xfId="79" applyFont="1" applyFill="1" applyBorder="1" applyAlignment="1" applyProtection="1">
      <alignment horizontal="center" vertical="center" wrapText="1"/>
    </xf>
    <xf numFmtId="0" fontId="3" fillId="0" borderId="0" xfId="79" applyFont="1" applyFill="1" applyBorder="1" applyAlignment="1" applyProtection="1">
      <alignment vertical="center"/>
    </xf>
    <xf numFmtId="0" fontId="3" fillId="0" borderId="65" xfId="79" applyFont="1" applyBorder="1" applyAlignment="1" applyProtection="1">
      <alignment horizontal="center" vertical="center" wrapText="1"/>
    </xf>
    <xf numFmtId="0" fontId="30" fillId="0" borderId="35" xfId="79" applyFont="1" applyBorder="1" applyAlignment="1" applyProtection="1">
      <alignment horizontal="center" vertical="center" wrapText="1"/>
    </xf>
    <xf numFmtId="1" fontId="35" fillId="19" borderId="12" xfId="81" applyNumberFormat="1" applyFont="1" applyFill="1" applyBorder="1" applyAlignment="1" applyProtection="1">
      <alignment horizontal="center" vertical="center"/>
      <protection locked="0"/>
    </xf>
    <xf numFmtId="1" fontId="35" fillId="19" borderId="38" xfId="81" applyNumberFormat="1" applyFont="1" applyFill="1" applyBorder="1" applyAlignment="1" applyProtection="1">
      <alignment horizontal="center" vertical="center"/>
      <protection locked="0"/>
    </xf>
    <xf numFmtId="0" fontId="3" fillId="0" borderId="47" xfId="79" applyFont="1" applyBorder="1" applyAlignment="1" applyProtection="1">
      <alignment horizontal="left" vertical="center" wrapText="1"/>
    </xf>
    <xf numFmtId="1" fontId="3" fillId="0" borderId="35" xfId="81" applyNumberFormat="1" applyFont="1" applyFill="1" applyBorder="1" applyAlignment="1" applyProtection="1">
      <alignment horizontal="center" vertical="center"/>
    </xf>
    <xf numFmtId="1" fontId="35" fillId="19" borderId="20" xfId="81" applyNumberFormat="1" applyFont="1" applyFill="1" applyBorder="1" applyAlignment="1" applyProtection="1">
      <alignment horizontal="center" vertical="center"/>
      <protection locked="0"/>
    </xf>
    <xf numFmtId="1" fontId="35" fillId="19" borderId="37" xfId="81" applyNumberFormat="1" applyFont="1" applyFill="1" applyBorder="1" applyAlignment="1" applyProtection="1">
      <alignment horizontal="center" vertical="center"/>
      <protection locked="0"/>
    </xf>
    <xf numFmtId="1" fontId="35" fillId="19" borderId="36" xfId="81" applyNumberFormat="1" applyFont="1" applyFill="1" applyBorder="1" applyAlignment="1" applyProtection="1">
      <alignment horizontal="center" vertical="center"/>
      <protection locked="0"/>
    </xf>
    <xf numFmtId="0" fontId="30" fillId="0" borderId="0" xfId="79" applyFont="1" applyBorder="1" applyAlignment="1" applyProtection="1">
      <alignment horizontal="left" vertical="center"/>
    </xf>
    <xf numFmtId="0" fontId="3" fillId="0" borderId="0" xfId="79" applyNumberFormat="1" applyFont="1" applyFill="1" applyBorder="1" applyAlignment="1" applyProtection="1">
      <alignment vertical="center" wrapText="1"/>
    </xf>
    <xf numFmtId="0" fontId="30" fillId="0" borderId="18" xfId="79" applyFont="1" applyBorder="1" applyAlignment="1" applyProtection="1">
      <alignment horizontal="centerContinuous" vertical="center"/>
    </xf>
    <xf numFmtId="0" fontId="30" fillId="0" borderId="19" xfId="79" applyFont="1" applyBorder="1" applyAlignment="1" applyProtection="1">
      <alignment horizontal="centerContinuous" vertical="center"/>
    </xf>
    <xf numFmtId="0" fontId="30" fillId="0" borderId="48" xfId="79" applyFont="1" applyBorder="1" applyAlignment="1" applyProtection="1">
      <alignment horizontal="centerContinuous" vertical="center"/>
    </xf>
    <xf numFmtId="0" fontId="30" fillId="20" borderId="38" xfId="79" applyFont="1" applyFill="1" applyBorder="1" applyAlignment="1" applyProtection="1">
      <alignment horizontal="center" vertical="center" wrapText="1"/>
    </xf>
    <xf numFmtId="0" fontId="30" fillId="0" borderId="30" xfId="79" applyFont="1" applyFill="1" applyBorder="1" applyAlignment="1" applyProtection="1">
      <alignment horizontal="left" vertical="center" wrapText="1"/>
    </xf>
    <xf numFmtId="0" fontId="3" fillId="0" borderId="65" xfId="79" applyFont="1" applyBorder="1" applyAlignment="1" applyProtection="1">
      <alignment horizontal="left" vertical="center" wrapText="1"/>
    </xf>
    <xf numFmtId="0" fontId="3" fillId="20" borderId="37" xfId="81" applyFont="1" applyFill="1" applyBorder="1" applyAlignment="1" applyProtection="1">
      <alignment horizontal="center" vertical="center"/>
    </xf>
    <xf numFmtId="1" fontId="35" fillId="19" borderId="35" xfId="81" applyNumberFormat="1" applyFont="1" applyFill="1" applyBorder="1" applyAlignment="1" applyProtection="1">
      <alignment horizontal="center" vertical="center"/>
      <protection locked="0"/>
    </xf>
    <xf numFmtId="0" fontId="35" fillId="20" borderId="37" xfId="81" applyFont="1" applyFill="1" applyBorder="1" applyAlignment="1" applyProtection="1">
      <alignment horizontal="center" vertical="center"/>
    </xf>
    <xf numFmtId="0" fontId="3" fillId="0" borderId="28" xfId="79" applyFont="1" applyBorder="1" applyAlignment="1" applyProtection="1">
      <alignment horizontal="left" vertical="center" wrapText="1"/>
    </xf>
    <xf numFmtId="0" fontId="3" fillId="20" borderId="30" xfId="81" applyFont="1" applyFill="1" applyBorder="1" applyAlignment="1" applyProtection="1">
      <alignment horizontal="center" vertical="center"/>
    </xf>
    <xf numFmtId="1" fontId="35" fillId="19" borderId="29" xfId="81" applyNumberFormat="1" applyFont="1" applyFill="1" applyBorder="1" applyAlignment="1" applyProtection="1">
      <alignment horizontal="center" vertical="center"/>
      <protection locked="0"/>
    </xf>
    <xf numFmtId="0" fontId="35" fillId="20" borderId="30" xfId="81" applyFont="1" applyFill="1" applyBorder="1" applyAlignment="1" applyProtection="1">
      <alignment horizontal="center" vertical="center"/>
    </xf>
    <xf numFmtId="0" fontId="30" fillId="0" borderId="71" xfId="79" applyFont="1" applyBorder="1" applyAlignment="1" applyProtection="1">
      <alignment horizontal="left" vertical="center"/>
    </xf>
    <xf numFmtId="1" fontId="30" fillId="18" borderId="42" xfId="79" applyNumberFormat="1" applyFont="1" applyFill="1" applyBorder="1" applyAlignment="1" applyProtection="1">
      <alignment horizontal="center" vertical="center" wrapText="1"/>
    </xf>
    <xf numFmtId="0" fontId="30" fillId="20" borderId="41" xfId="79" applyNumberFormat="1" applyFont="1" applyFill="1" applyBorder="1" applyAlignment="1" applyProtection="1">
      <alignment horizontal="center" vertical="center" wrapText="1"/>
    </xf>
    <xf numFmtId="0" fontId="30" fillId="0" borderId="80" xfId="79" applyFont="1" applyBorder="1" applyAlignment="1" applyProtection="1">
      <alignment horizontal="left" vertical="center"/>
    </xf>
    <xf numFmtId="0" fontId="3" fillId="0" borderId="80" xfId="79" applyNumberFormat="1" applyFont="1" applyFill="1" applyBorder="1" applyAlignment="1" applyProtection="1">
      <alignment vertical="center" wrapText="1"/>
    </xf>
    <xf numFmtId="170" fontId="3" fillId="0" borderId="35" xfId="81" applyNumberFormat="1" applyFont="1" applyFill="1" applyBorder="1" applyAlignment="1" applyProtection="1">
      <alignment horizontal="center" vertical="center"/>
    </xf>
    <xf numFmtId="170" fontId="35" fillId="19" borderId="20" xfId="81" applyNumberFormat="1" applyFont="1" applyFill="1" applyBorder="1" applyAlignment="1" applyProtection="1">
      <alignment horizontal="center" vertical="center"/>
      <protection locked="0"/>
    </xf>
    <xf numFmtId="0" fontId="35" fillId="20" borderId="38" xfId="81" applyFont="1" applyFill="1" applyBorder="1" applyAlignment="1" applyProtection="1">
      <alignment horizontal="center" vertical="center"/>
    </xf>
    <xf numFmtId="170" fontId="35" fillId="19" borderId="37" xfId="81" applyNumberFormat="1" applyFont="1" applyFill="1" applyBorder="1" applyAlignment="1" applyProtection="1">
      <alignment horizontal="center" vertical="center"/>
      <protection locked="0"/>
    </xf>
    <xf numFmtId="0" fontId="35" fillId="20" borderId="36" xfId="81" applyFont="1" applyFill="1" applyBorder="1" applyAlignment="1" applyProtection="1">
      <alignment horizontal="center" vertical="center"/>
    </xf>
    <xf numFmtId="170" fontId="30" fillId="18" borderId="39" xfId="79" applyNumberFormat="1" applyFont="1" applyFill="1" applyBorder="1" applyAlignment="1" applyProtection="1">
      <alignment horizontal="center" vertical="center" wrapText="1"/>
    </xf>
    <xf numFmtId="170" fontId="30" fillId="18" borderId="40" xfId="79" applyNumberFormat="1" applyFont="1" applyFill="1" applyBorder="1" applyAlignment="1" applyProtection="1">
      <alignment horizontal="center" vertical="center" wrapText="1"/>
    </xf>
    <xf numFmtId="0" fontId="3" fillId="0" borderId="80" xfId="79" applyFont="1" applyBorder="1" applyAlignment="1" applyProtection="1">
      <alignment vertical="center"/>
    </xf>
    <xf numFmtId="0" fontId="30" fillId="20" borderId="53" xfId="79" applyFont="1" applyFill="1" applyBorder="1" applyAlignment="1" applyProtection="1">
      <alignment horizontal="center" vertical="center" wrapText="1"/>
    </xf>
    <xf numFmtId="170" fontId="3" fillId="0" borderId="37" xfId="81" applyNumberFormat="1" applyFont="1" applyFill="1" applyBorder="1" applyAlignment="1" applyProtection="1">
      <alignment horizontal="center" vertical="center"/>
    </xf>
    <xf numFmtId="0" fontId="35" fillId="20" borderId="57" xfId="81" applyFont="1" applyFill="1" applyBorder="1" applyAlignment="1" applyProtection="1">
      <alignment horizontal="center" vertical="center"/>
    </xf>
    <xf numFmtId="170" fontId="3" fillId="0" borderId="29" xfId="81" applyNumberFormat="1" applyFont="1" applyFill="1" applyBorder="1" applyAlignment="1" applyProtection="1">
      <alignment horizontal="center" vertical="center"/>
    </xf>
    <xf numFmtId="170" fontId="3" fillId="0" borderId="30" xfId="81" applyNumberFormat="1" applyFont="1" applyFill="1" applyBorder="1" applyAlignment="1" applyProtection="1">
      <alignment horizontal="center" vertical="center"/>
    </xf>
    <xf numFmtId="0" fontId="3" fillId="0" borderId="85" xfId="79" applyFont="1" applyBorder="1" applyAlignment="1" applyProtection="1">
      <alignment horizontal="left" vertical="center" wrapText="1"/>
    </xf>
    <xf numFmtId="170" fontId="3" fillId="0" borderId="39" xfId="81" applyNumberFormat="1" applyFont="1" applyFill="1" applyBorder="1" applyAlignment="1" applyProtection="1">
      <alignment horizontal="center" vertical="center"/>
    </xf>
    <xf numFmtId="170" fontId="3" fillId="0" borderId="40" xfId="81" applyNumberFormat="1" applyFont="1" applyFill="1" applyBorder="1" applyAlignment="1" applyProtection="1">
      <alignment horizontal="center" vertical="center"/>
    </xf>
    <xf numFmtId="0" fontId="35" fillId="20" borderId="41" xfId="81" applyFont="1" applyFill="1" applyBorder="1" applyAlignment="1" applyProtection="1">
      <alignment horizontal="center" vertical="center"/>
    </xf>
    <xf numFmtId="0" fontId="3" fillId="0" borderId="88" xfId="79" applyFont="1" applyBorder="1" applyAlignment="1" applyProtection="1">
      <alignment vertical="center"/>
    </xf>
    <xf numFmtId="1" fontId="3" fillId="0" borderId="37" xfId="81" applyNumberFormat="1" applyFont="1" applyFill="1" applyBorder="1" applyAlignment="1" applyProtection="1">
      <alignment horizontal="center" vertical="center"/>
    </xf>
    <xf numFmtId="1" fontId="3" fillId="0" borderId="36" xfId="81" applyNumberFormat="1" applyFont="1" applyFill="1" applyBorder="1" applyAlignment="1" applyProtection="1">
      <alignment horizontal="center" vertical="center"/>
    </xf>
    <xf numFmtId="0" fontId="30" fillId="0" borderId="10" xfId="79" applyFont="1" applyBorder="1" applyAlignment="1" applyProtection="1">
      <alignment horizontal="centerContinuous" vertical="center"/>
    </xf>
    <xf numFmtId="0" fontId="30" fillId="0" borderId="11" xfId="79" applyFont="1" applyBorder="1" applyAlignment="1" applyProtection="1">
      <alignment horizontal="centerContinuous" vertical="center"/>
    </xf>
    <xf numFmtId="0" fontId="30" fillId="0" borderId="59" xfId="79" applyFont="1" applyBorder="1" applyAlignment="1" applyProtection="1">
      <alignment horizontal="centerContinuous" vertical="center"/>
    </xf>
    <xf numFmtId="0" fontId="30" fillId="20" borderId="83" xfId="79" applyNumberFormat="1" applyFont="1" applyFill="1" applyBorder="1" applyAlignment="1" applyProtection="1">
      <alignment horizontal="center" vertical="center" wrapText="1"/>
    </xf>
    <xf numFmtId="0" fontId="3" fillId="20" borderId="40" xfId="81" applyFont="1" applyFill="1" applyBorder="1" applyAlignment="1" applyProtection="1">
      <alignment horizontal="center" vertical="center"/>
    </xf>
    <xf numFmtId="0" fontId="3" fillId="0" borderId="0" xfId="79" applyFont="1" applyProtection="1"/>
    <xf numFmtId="1" fontId="30" fillId="0" borderId="49" xfId="61" applyNumberFormat="1" applyFont="1" applyBorder="1" applyAlignment="1" applyProtection="1">
      <alignment horizontal="centerContinuous" wrapText="1"/>
    </xf>
    <xf numFmtId="0" fontId="37" fillId="0" borderId="51" xfId="0" applyFont="1" applyBorder="1" applyAlignment="1" applyProtection="1">
      <alignment horizontal="centerContinuous"/>
    </xf>
    <xf numFmtId="1" fontId="30" fillId="0" borderId="52" xfId="61" applyNumberFormat="1" applyFont="1" applyBorder="1" applyAlignment="1" applyProtection="1">
      <alignment horizontal="center" vertical="center" wrapText="1"/>
    </xf>
    <xf numFmtId="1" fontId="30" fillId="0" borderId="53" xfId="61" applyNumberFormat="1" applyFont="1" applyBorder="1" applyAlignment="1" applyProtection="1">
      <alignment horizontal="center" vertical="center" wrapText="1"/>
    </xf>
    <xf numFmtId="1" fontId="30" fillId="0" borderId="32" xfId="61" applyNumberFormat="1" applyFont="1" applyBorder="1" applyAlignment="1" applyProtection="1">
      <alignment horizontal="center"/>
    </xf>
    <xf numFmtId="1" fontId="30" fillId="0" borderId="75" xfId="61" applyNumberFormat="1" applyFont="1" applyBorder="1" applyAlignment="1" applyProtection="1">
      <alignment horizontal="center"/>
    </xf>
    <xf numFmtId="1" fontId="3" fillId="0" borderId="45" xfId="61" applyNumberFormat="1" applyFont="1" applyFill="1" applyBorder="1" applyProtection="1"/>
    <xf numFmtId="0" fontId="30" fillId="0" borderId="0" xfId="61" applyFont="1" applyBorder="1" applyAlignment="1" applyProtection="1"/>
    <xf numFmtId="0" fontId="3" fillId="0" borderId="0" xfId="61" applyFont="1" applyBorder="1" applyProtection="1"/>
    <xf numFmtId="1" fontId="3" fillId="0" borderId="73" xfId="76" applyNumberFormat="1" applyFont="1" applyFill="1" applyBorder="1" applyAlignment="1" applyProtection="1">
      <alignment horizontal="center"/>
    </xf>
    <xf numFmtId="0" fontId="3" fillId="0" borderId="22" xfId="0" applyFont="1" applyBorder="1" applyAlignment="1" applyProtection="1"/>
    <xf numFmtId="0" fontId="3" fillId="0" borderId="73" xfId="0" applyFont="1" applyBorder="1" applyAlignment="1" applyProtection="1"/>
    <xf numFmtId="0" fontId="30" fillId="0" borderId="0" xfId="61" applyFont="1" applyBorder="1" applyProtection="1"/>
    <xf numFmtId="1" fontId="3" fillId="0" borderId="69" xfId="76" applyNumberFormat="1" applyFont="1" applyBorder="1" applyProtection="1"/>
    <xf numFmtId="0" fontId="3" fillId="0" borderId="26" xfId="0" applyFont="1" applyBorder="1" applyAlignment="1" applyProtection="1"/>
    <xf numFmtId="0" fontId="3" fillId="0" borderId="69" xfId="0" applyFont="1" applyBorder="1" applyAlignment="1" applyProtection="1"/>
    <xf numFmtId="0" fontId="3" fillId="0" borderId="45" xfId="61" applyFont="1" applyBorder="1" applyProtection="1"/>
    <xf numFmtId="0" fontId="3" fillId="0" borderId="69" xfId="76" applyFont="1" applyBorder="1" applyAlignment="1" applyProtection="1">
      <alignment horizontal="center"/>
    </xf>
    <xf numFmtId="2" fontId="35" fillId="19" borderId="26" xfId="0" applyNumberFormat="1" applyFont="1" applyFill="1" applyBorder="1" applyAlignment="1" applyProtection="1">
      <alignment horizontal="center" vertical="center"/>
      <protection locked="0"/>
    </xf>
    <xf numFmtId="2" fontId="35" fillId="19" borderId="69" xfId="0" applyNumberFormat="1" applyFont="1" applyFill="1" applyBorder="1" applyAlignment="1" applyProtection="1">
      <alignment horizontal="center" vertical="center"/>
      <protection locked="0"/>
    </xf>
    <xf numFmtId="2" fontId="0" fillId="0" borderId="0" xfId="0" applyNumberFormat="1"/>
    <xf numFmtId="2" fontId="3" fillId="0" borderId="26" xfId="0" applyNumberFormat="1" applyFont="1" applyBorder="1" applyAlignment="1" applyProtection="1">
      <alignment horizontal="center" vertical="center"/>
    </xf>
    <xf numFmtId="2" fontId="3" fillId="0" borderId="69" xfId="0" applyNumberFormat="1" applyFont="1" applyBorder="1" applyAlignment="1" applyProtection="1">
      <alignment horizontal="center" vertical="center"/>
    </xf>
    <xf numFmtId="2" fontId="3" fillId="20" borderId="29" xfId="68" applyNumberFormat="1" applyFont="1" applyFill="1" applyBorder="1" applyAlignment="1" applyProtection="1">
      <alignment horizontal="center" vertical="center"/>
    </xf>
    <xf numFmtId="2" fontId="3" fillId="20" borderId="38" xfId="68" applyNumberFormat="1" applyFont="1" applyFill="1" applyBorder="1" applyAlignment="1" applyProtection="1">
      <alignment horizontal="center" vertical="center"/>
    </xf>
    <xf numFmtId="1" fontId="30" fillId="0" borderId="76" xfId="61" applyNumberFormat="1" applyFont="1" applyBorder="1" applyProtection="1"/>
    <xf numFmtId="1" fontId="30" fillId="0" borderId="77" xfId="61" applyNumberFormat="1" applyFont="1" applyBorder="1" applyProtection="1"/>
    <xf numFmtId="172" fontId="35" fillId="0" borderId="75" xfId="76" applyNumberFormat="1" applyFont="1" applyFill="1" applyBorder="1" applyProtection="1"/>
    <xf numFmtId="2" fontId="3" fillId="0" borderId="32" xfId="0" applyNumberFormat="1" applyFont="1" applyBorder="1" applyAlignment="1" applyProtection="1">
      <alignment horizontal="center" vertical="center"/>
    </xf>
    <xf numFmtId="2" fontId="3" fillId="0" borderId="75" xfId="0" applyNumberFormat="1" applyFont="1" applyBorder="1" applyAlignment="1" applyProtection="1">
      <alignment horizontal="center" vertical="center"/>
    </xf>
    <xf numFmtId="0" fontId="3" fillId="0" borderId="79" xfId="61" applyFont="1" applyBorder="1" applyProtection="1"/>
    <xf numFmtId="0" fontId="30" fillId="0" borderId="80" xfId="61" applyFont="1" applyBorder="1" applyAlignment="1" applyProtection="1"/>
    <xf numFmtId="0" fontId="3" fillId="0" borderId="0" xfId="70" applyFont="1" applyAlignment="1" applyProtection="1"/>
    <xf numFmtId="0" fontId="3" fillId="0" borderId="69" xfId="76" applyFont="1" applyFill="1" applyBorder="1" applyAlignment="1" applyProtection="1">
      <alignment horizontal="center"/>
    </xf>
    <xf numFmtId="2" fontId="3" fillId="0" borderId="39" xfId="0" applyNumberFormat="1" applyFont="1" applyBorder="1" applyAlignment="1" applyProtection="1">
      <alignment horizontal="center" vertical="center"/>
    </xf>
    <xf numFmtId="2" fontId="3" fillId="0" borderId="41" xfId="0" applyNumberFormat="1" applyFont="1" applyBorder="1" applyAlignment="1" applyProtection="1">
      <alignment horizontal="center" vertical="center"/>
    </xf>
    <xf numFmtId="0" fontId="3" fillId="0" borderId="39" xfId="0" applyFont="1" applyBorder="1" applyAlignment="1" applyProtection="1"/>
    <xf numFmtId="0" fontId="3" fillId="0" borderId="41" xfId="0" applyFont="1" applyBorder="1" applyAlignment="1" applyProtection="1"/>
    <xf numFmtId="1" fontId="3" fillId="0" borderId="79" xfId="61" applyNumberFormat="1" applyFont="1" applyFill="1" applyBorder="1" applyProtection="1"/>
    <xf numFmtId="0" fontId="30" fillId="0" borderId="80" xfId="61" applyFont="1" applyBorder="1" applyProtection="1"/>
    <xf numFmtId="0" fontId="3" fillId="0" borderId="80" xfId="61" applyFont="1" applyBorder="1" applyProtection="1"/>
    <xf numFmtId="0" fontId="3" fillId="0" borderId="73" xfId="76" applyFont="1" applyBorder="1" applyAlignment="1" applyProtection="1">
      <alignment horizontal="center"/>
    </xf>
    <xf numFmtId="2" fontId="3" fillId="0" borderId="22" xfId="0" applyNumberFormat="1" applyFont="1" applyBorder="1" applyAlignment="1" applyProtection="1">
      <alignment horizontal="center" vertical="center"/>
    </xf>
    <xf numFmtId="2" fontId="3" fillId="0" borderId="73" xfId="0" applyNumberFormat="1" applyFont="1" applyBorder="1" applyAlignment="1" applyProtection="1">
      <alignment horizontal="center" vertical="center"/>
    </xf>
    <xf numFmtId="2" fontId="35" fillId="0" borderId="26" xfId="0" applyNumberFormat="1" applyFont="1" applyFill="1" applyBorder="1" applyAlignment="1" applyProtection="1">
      <alignment horizontal="center" vertical="center"/>
    </xf>
    <xf numFmtId="2" fontId="35" fillId="0" borderId="69" xfId="0" applyNumberFormat="1" applyFont="1" applyFill="1" applyBorder="1" applyAlignment="1" applyProtection="1">
      <alignment horizontal="center" vertical="center"/>
    </xf>
    <xf numFmtId="0" fontId="3" fillId="0" borderId="0" xfId="61" applyFont="1" applyBorder="1" applyAlignment="1" applyProtection="1">
      <alignment horizontal="left" indent="1"/>
    </xf>
    <xf numFmtId="0" fontId="3" fillId="0" borderId="76" xfId="61" applyFont="1" applyBorder="1" applyProtection="1"/>
    <xf numFmtId="0" fontId="3" fillId="0" borderId="77" xfId="61" applyFont="1" applyBorder="1" applyProtection="1"/>
    <xf numFmtId="0" fontId="30" fillId="0" borderId="77" xfId="61" applyFont="1" applyBorder="1" applyProtection="1"/>
    <xf numFmtId="0" fontId="3" fillId="0" borderId="77" xfId="61" applyFont="1" applyBorder="1" applyAlignment="1" applyProtection="1">
      <alignment horizontal="left" indent="1"/>
    </xf>
    <xf numFmtId="0" fontId="3" fillId="0" borderId="75" xfId="76" applyFont="1" applyBorder="1" applyAlignment="1" applyProtection="1">
      <alignment horizontal="center"/>
    </xf>
    <xf numFmtId="2" fontId="35" fillId="19" borderId="32" xfId="0" applyNumberFormat="1" applyFont="1" applyFill="1" applyBorder="1" applyAlignment="1" applyProtection="1">
      <alignment horizontal="center" vertical="center"/>
      <protection locked="0"/>
    </xf>
    <xf numFmtId="2" fontId="35" fillId="19" borderId="75" xfId="0" applyNumberFormat="1" applyFont="1" applyFill="1" applyBorder="1" applyAlignment="1" applyProtection="1">
      <alignment horizontal="center" vertical="center"/>
      <protection locked="0"/>
    </xf>
    <xf numFmtId="0" fontId="0" fillId="0" borderId="16" xfId="0" applyBorder="1" applyAlignment="1">
      <alignment horizontal="left"/>
    </xf>
    <xf numFmtId="0" fontId="0" fillId="0" borderId="17" xfId="0" applyBorder="1"/>
    <xf numFmtId="0" fontId="0" fillId="0" borderId="13" xfId="0" applyBorder="1"/>
    <xf numFmtId="0" fontId="3" fillId="0" borderId="54"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3" fillId="0" borderId="13" xfId="0" applyFont="1" applyBorder="1"/>
    <xf numFmtId="0" fontId="0" fillId="14" borderId="54" xfId="0" applyFill="1" applyBorder="1"/>
    <xf numFmtId="2" fontId="0" fillId="0" borderId="15" xfId="0" applyNumberFormat="1" applyBorder="1"/>
    <xf numFmtId="0" fontId="0" fillId="0" borderId="0" xfId="0" applyBorder="1"/>
    <xf numFmtId="0" fontId="3" fillId="0" borderId="16" xfId="0" applyFont="1" applyBorder="1"/>
    <xf numFmtId="0" fontId="0" fillId="14" borderId="27" xfId="0" applyFill="1" applyBorder="1"/>
    <xf numFmtId="0" fontId="3" fillId="0" borderId="18" xfId="0" applyFont="1" applyBorder="1"/>
    <xf numFmtId="0" fontId="0" fillId="14" borderId="37" xfId="0" applyFill="1" applyBorder="1"/>
    <xf numFmtId="0" fontId="33" fillId="0" borderId="13" xfId="67" applyFont="1" applyBorder="1"/>
    <xf numFmtId="0" fontId="32" fillId="0" borderId="14" xfId="67" applyFont="1" applyBorder="1"/>
    <xf numFmtId="0" fontId="33" fillId="0" borderId="14" xfId="67" applyFont="1" applyBorder="1"/>
    <xf numFmtId="0" fontId="32" fillId="0" borderId="15" xfId="67" applyFont="1" applyBorder="1"/>
    <xf numFmtId="0" fontId="33" fillId="0" borderId="16" xfId="67" applyFont="1" applyBorder="1"/>
    <xf numFmtId="0" fontId="32" fillId="0" borderId="0" xfId="67" applyFont="1" applyBorder="1"/>
    <xf numFmtId="0" fontId="32" fillId="0" borderId="17" xfId="67" applyFont="1" applyBorder="1"/>
    <xf numFmtId="0" fontId="33" fillId="0" borderId="17" xfId="67" applyFont="1" applyBorder="1" applyAlignment="1">
      <alignment horizontal="center" textRotation="90" wrapText="1"/>
    </xf>
    <xf numFmtId="0" fontId="64" fillId="0" borderId="0" xfId="0" applyFont="1"/>
    <xf numFmtId="0" fontId="65" fillId="0" borderId="30" xfId="67" applyFont="1" applyBorder="1" applyAlignment="1">
      <alignment wrapText="1"/>
    </xf>
    <xf numFmtId="170" fontId="65" fillId="0" borderId="30" xfId="67" applyNumberFormat="1" applyFont="1" applyBorder="1" applyAlignment="1" applyProtection="1">
      <alignment horizontal="center" textRotation="90" wrapText="1"/>
    </xf>
    <xf numFmtId="170" fontId="65" fillId="0" borderId="37" xfId="67" applyNumberFormat="1" applyFont="1" applyBorder="1" applyAlignment="1" applyProtection="1">
      <alignment horizontal="center" textRotation="90" wrapText="1"/>
    </xf>
    <xf numFmtId="0" fontId="66" fillId="0" borderId="17" xfId="67" applyFont="1" applyBorder="1" applyAlignment="1">
      <alignment horizontal="center" textRotation="90" wrapText="1"/>
    </xf>
    <xf numFmtId="0" fontId="32" fillId="0" borderId="30" xfId="67" applyFont="1" applyBorder="1"/>
    <xf numFmtId="0" fontId="32" fillId="0" borderId="30" xfId="67" applyFont="1" applyBorder="1" applyAlignment="1">
      <alignment horizontal="center"/>
    </xf>
    <xf numFmtId="0" fontId="32" fillId="0" borderId="54" xfId="67" applyFont="1" applyBorder="1"/>
    <xf numFmtId="0" fontId="32" fillId="0" borderId="54" xfId="67" applyFont="1" applyBorder="1" applyAlignment="1">
      <alignment horizontal="center"/>
    </xf>
    <xf numFmtId="0" fontId="32" fillId="0" borderId="27" xfId="67" applyFont="1" applyBorder="1"/>
    <xf numFmtId="37" fontId="32" fillId="0" borderId="17" xfId="67" applyNumberFormat="1" applyFont="1" applyBorder="1"/>
    <xf numFmtId="173" fontId="32" fillId="0" borderId="17" xfId="67" applyNumberFormat="1" applyFont="1" applyBorder="1"/>
    <xf numFmtId="0" fontId="32" fillId="0" borderId="37" xfId="67" applyFont="1" applyBorder="1"/>
    <xf numFmtId="173" fontId="32" fillId="0" borderId="37" xfId="67" applyNumberFormat="1" applyFont="1" applyBorder="1"/>
    <xf numFmtId="0" fontId="32" fillId="0" borderId="16" xfId="67" applyFont="1" applyBorder="1"/>
    <xf numFmtId="173" fontId="32" fillId="0" borderId="0" xfId="67" applyNumberFormat="1" applyFont="1" applyBorder="1"/>
    <xf numFmtId="0" fontId="32" fillId="0" borderId="16" xfId="0" applyFont="1" applyBorder="1" applyAlignment="1" applyProtection="1"/>
    <xf numFmtId="0" fontId="32" fillId="0" borderId="0" xfId="0" applyFont="1" applyBorder="1" applyAlignment="1" applyProtection="1"/>
    <xf numFmtId="0" fontId="33" fillId="0" borderId="0" xfId="0" applyFont="1" applyBorder="1" applyAlignment="1">
      <alignment horizontal="right"/>
    </xf>
    <xf numFmtId="37" fontId="33" fillId="0" borderId="0" xfId="0" applyNumberFormat="1" applyFont="1" applyFill="1" applyBorder="1" applyAlignment="1"/>
    <xf numFmtId="0" fontId="45" fillId="0" borderId="0" xfId="0" applyFont="1" applyBorder="1" applyAlignment="1" applyProtection="1">
      <alignment horizontal="center"/>
    </xf>
    <xf numFmtId="0" fontId="32" fillId="0" borderId="18" xfId="67" applyFont="1" applyBorder="1"/>
    <xf numFmtId="173" fontId="32" fillId="0" borderId="19" xfId="67" applyNumberFormat="1" applyFont="1" applyBorder="1"/>
    <xf numFmtId="37" fontId="32" fillId="0" borderId="20" xfId="67" applyNumberFormat="1" applyFont="1" applyBorder="1"/>
    <xf numFmtId="0" fontId="30" fillId="0" borderId="0" xfId="0" applyFont="1" applyAlignment="1">
      <alignment vertical="center"/>
    </xf>
    <xf numFmtId="0" fontId="53" fillId="0" borderId="0" xfId="69" applyFont="1" applyAlignment="1" applyProtection="1">
      <alignment vertical="center"/>
    </xf>
    <xf numFmtId="0" fontId="67"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2" fillId="0" borderId="0" xfId="0" applyFont="1" applyAlignment="1">
      <alignment vertical="center"/>
    </xf>
    <xf numFmtId="0" fontId="3" fillId="0" borderId="0" xfId="0" applyFont="1" applyAlignment="1">
      <alignment vertical="center"/>
    </xf>
    <xf numFmtId="0" fontId="31" fillId="0" borderId="0" xfId="0" applyFont="1" applyAlignment="1">
      <alignment vertical="center"/>
    </xf>
    <xf numFmtId="0" fontId="31" fillId="0" borderId="0" xfId="0" applyFont="1" applyBorder="1" applyAlignment="1">
      <alignment vertical="center"/>
    </xf>
    <xf numFmtId="0" fontId="33" fillId="0" borderId="66" xfId="0" applyFont="1" applyBorder="1" applyAlignment="1" applyProtection="1">
      <alignment horizontal="center" vertical="center" wrapText="1"/>
    </xf>
    <xf numFmtId="0" fontId="32" fillId="0" borderId="0" xfId="0" applyFont="1" applyBorder="1" applyAlignment="1" applyProtection="1">
      <alignment horizontal="center" vertical="center"/>
    </xf>
    <xf numFmtId="0" fontId="33" fillId="0" borderId="66" xfId="0" applyFont="1" applyFill="1" applyBorder="1" applyAlignment="1" applyProtection="1">
      <alignment horizontal="center" vertical="center" wrapText="1"/>
    </xf>
    <xf numFmtId="0" fontId="32" fillId="0" borderId="0" xfId="0" applyFont="1" applyAlignment="1" applyProtection="1">
      <alignment vertical="center"/>
    </xf>
    <xf numFmtId="0" fontId="33" fillId="0" borderId="21" xfId="0" applyFont="1" applyBorder="1" applyAlignment="1">
      <alignment horizontal="center" vertical="center" wrapText="1"/>
    </xf>
    <xf numFmtId="0" fontId="31" fillId="0" borderId="0" xfId="0" applyFont="1" applyAlignment="1" applyProtection="1">
      <alignment vertical="center"/>
    </xf>
    <xf numFmtId="0" fontId="67" fillId="0" borderId="0" xfId="0" applyFont="1" applyBorder="1" applyAlignment="1">
      <alignment horizontal="left" vertical="center"/>
    </xf>
    <xf numFmtId="0" fontId="33" fillId="0" borderId="63" xfId="0" applyFont="1" applyBorder="1" applyAlignment="1" applyProtection="1">
      <alignment horizontal="center" vertical="center"/>
    </xf>
    <xf numFmtId="0" fontId="33" fillId="0" borderId="89" xfId="0" applyFont="1" applyBorder="1" applyAlignment="1" applyProtection="1">
      <alignment horizontal="center" vertical="center"/>
    </xf>
    <xf numFmtId="0" fontId="33" fillId="0" borderId="62" xfId="0" applyFont="1" applyBorder="1" applyAlignment="1" applyProtection="1">
      <alignment horizontal="center" vertical="center"/>
    </xf>
    <xf numFmtId="0" fontId="33" fillId="0" borderId="0" xfId="0" applyFont="1" applyAlignment="1">
      <alignment horizontal="center" vertical="center"/>
    </xf>
    <xf numFmtId="0" fontId="33" fillId="0" borderId="66"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55" xfId="0" applyFont="1" applyBorder="1" applyAlignment="1" applyProtection="1">
      <alignment horizontal="center" vertical="center"/>
    </xf>
    <xf numFmtId="0" fontId="33" fillId="0" borderId="90" xfId="0" applyFont="1" applyBorder="1" applyAlignment="1" applyProtection="1">
      <alignment horizontal="center" vertical="center"/>
    </xf>
    <xf numFmtId="0" fontId="33" fillId="0" borderId="88" xfId="0" applyFont="1" applyBorder="1" applyAlignment="1" applyProtection="1">
      <alignment horizontal="center" vertical="center"/>
    </xf>
    <xf numFmtId="0" fontId="33" fillId="0" borderId="32" xfId="0" applyFont="1" applyBorder="1" applyAlignment="1">
      <alignment horizontal="center" vertical="center"/>
    </xf>
    <xf numFmtId="0" fontId="33" fillId="0" borderId="34" xfId="0" applyFont="1" applyBorder="1" applyAlignment="1">
      <alignment horizontal="center" vertical="center"/>
    </xf>
    <xf numFmtId="0" fontId="33" fillId="0" borderId="31" xfId="0" applyFont="1" applyBorder="1" applyAlignment="1">
      <alignment horizontal="center" vertical="center"/>
    </xf>
    <xf numFmtId="0" fontId="33" fillId="0" borderId="66" xfId="0" applyFont="1" applyBorder="1" applyAlignment="1">
      <alignment horizontal="center" vertical="center"/>
    </xf>
    <xf numFmtId="0" fontId="33" fillId="0" borderId="63" xfId="0" applyFont="1" applyBorder="1" applyAlignment="1">
      <alignment horizontal="center" vertical="center"/>
    </xf>
    <xf numFmtId="0" fontId="33" fillId="0" borderId="89" xfId="0" applyFont="1" applyBorder="1" applyAlignment="1">
      <alignment horizontal="center" vertical="center"/>
    </xf>
    <xf numFmtId="0" fontId="31" fillId="0" borderId="0" xfId="0" applyFont="1" applyBorder="1" applyAlignment="1" applyProtection="1">
      <alignment horizontal="left" vertical="center" wrapText="1"/>
    </xf>
    <xf numFmtId="175" fontId="31" fillId="0" borderId="0" xfId="0" applyNumberFormat="1" applyFont="1" applyAlignment="1">
      <alignment horizontal="right" vertical="center"/>
    </xf>
    <xf numFmtId="175" fontId="40" fillId="19" borderId="88" xfId="0" applyNumberFormat="1" applyFont="1" applyFill="1" applyBorder="1" applyAlignment="1" applyProtection="1">
      <alignment horizontal="right" vertical="center"/>
      <protection locked="0"/>
    </xf>
    <xf numFmtId="175" fontId="40" fillId="19" borderId="28" xfId="0" applyNumberFormat="1" applyFont="1" applyFill="1" applyBorder="1" applyAlignment="1" applyProtection="1">
      <alignment horizontal="right" vertical="center"/>
      <protection locked="0"/>
    </xf>
    <xf numFmtId="175" fontId="40" fillId="19" borderId="35" xfId="0" applyNumberFormat="1" applyFont="1" applyFill="1" applyBorder="1" applyAlignment="1" applyProtection="1">
      <alignment horizontal="right"/>
      <protection locked="0"/>
    </xf>
    <xf numFmtId="175" fontId="31" fillId="22" borderId="65" xfId="0" applyNumberFormat="1" applyFont="1" applyFill="1" applyBorder="1" applyAlignment="1">
      <alignment horizontal="right"/>
    </xf>
    <xf numFmtId="175" fontId="40" fillId="19" borderId="71"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xf>
    <xf numFmtId="175" fontId="40" fillId="19" borderId="65"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wrapText="1"/>
    </xf>
    <xf numFmtId="175" fontId="31" fillId="22" borderId="28" xfId="0" applyNumberFormat="1" applyFont="1" applyFill="1" applyBorder="1" applyAlignment="1">
      <alignment horizontal="right"/>
    </xf>
    <xf numFmtId="175" fontId="40" fillId="19" borderId="39" xfId="0" applyNumberFormat="1" applyFont="1" applyFill="1" applyBorder="1" applyAlignment="1" applyProtection="1">
      <alignment horizontal="right"/>
      <protection locked="0"/>
    </xf>
    <xf numFmtId="175" fontId="40" fillId="19" borderId="83" xfId="0" applyNumberFormat="1" applyFont="1" applyFill="1" applyBorder="1" applyAlignment="1" applyProtection="1">
      <alignment horizontal="right"/>
      <protection locked="0"/>
    </xf>
    <xf numFmtId="175" fontId="31" fillId="22" borderId="70" xfId="0" applyNumberFormat="1" applyFont="1" applyFill="1" applyBorder="1" applyAlignment="1">
      <alignment horizontal="right"/>
    </xf>
    <xf numFmtId="175" fontId="40" fillId="19" borderId="70" xfId="0" applyNumberFormat="1" applyFont="1" applyFill="1" applyBorder="1" applyAlignment="1" applyProtection="1">
      <alignment horizontal="right" vertical="center"/>
      <protection locked="0"/>
    </xf>
    <xf numFmtId="175" fontId="31" fillId="22" borderId="88" xfId="0" applyNumberFormat="1" applyFont="1" applyFill="1" applyBorder="1" applyAlignment="1">
      <alignment horizontal="right"/>
    </xf>
    <xf numFmtId="0" fontId="31" fillId="0" borderId="30" xfId="0" applyFont="1" applyFill="1" applyBorder="1" applyAlignment="1" applyProtection="1">
      <alignment horizontal="left" vertical="center"/>
    </xf>
    <xf numFmtId="0" fontId="31" fillId="0" borderId="38" xfId="0" applyFont="1" applyBorder="1" applyAlignment="1" applyProtection="1">
      <alignment horizontal="left" vertical="center" wrapText="1"/>
    </xf>
    <xf numFmtId="175" fontId="31" fillId="22" borderId="71" xfId="0" applyNumberFormat="1" applyFont="1" applyFill="1" applyBorder="1" applyAlignment="1">
      <alignment horizontal="right"/>
    </xf>
    <xf numFmtId="175" fontId="40" fillId="19" borderId="55" xfId="0" applyNumberFormat="1" applyFont="1" applyFill="1" applyBorder="1" applyAlignment="1" applyProtection="1">
      <alignment horizontal="right" vertical="center"/>
      <protection locked="0"/>
    </xf>
    <xf numFmtId="175" fontId="31" fillId="22" borderId="88" xfId="0" applyNumberFormat="1" applyFont="1" applyFill="1" applyBorder="1" applyAlignment="1">
      <alignment horizontal="right" vertical="center"/>
    </xf>
    <xf numFmtId="0" fontId="31" fillId="0" borderId="38" xfId="0" applyFont="1" applyFill="1" applyBorder="1" applyAlignment="1" applyProtection="1">
      <alignment horizontal="left" vertical="center"/>
    </xf>
    <xf numFmtId="175" fontId="40" fillId="19" borderId="29" xfId="0" applyNumberFormat="1" applyFont="1" applyFill="1" applyBorder="1" applyAlignment="1" applyProtection="1">
      <alignment horizontal="right" vertical="center"/>
      <protection locked="0"/>
    </xf>
    <xf numFmtId="175" fontId="31" fillId="22" borderId="28" xfId="0" applyNumberFormat="1" applyFont="1" applyFill="1" applyBorder="1" applyAlignment="1">
      <alignment horizontal="right" vertical="center"/>
    </xf>
    <xf numFmtId="175" fontId="40" fillId="19" borderId="39" xfId="0" applyNumberFormat="1" applyFont="1" applyFill="1" applyBorder="1" applyAlignment="1" applyProtection="1">
      <alignment horizontal="right" vertical="center"/>
      <protection locked="0"/>
    </xf>
    <xf numFmtId="175" fontId="31" fillId="22" borderId="71" xfId="0" applyNumberFormat="1" applyFont="1" applyFill="1" applyBorder="1" applyAlignment="1">
      <alignment horizontal="right" vertical="center"/>
    </xf>
    <xf numFmtId="175" fontId="31" fillId="22" borderId="66" xfId="0" applyNumberFormat="1" applyFont="1" applyFill="1" applyBorder="1" applyAlignment="1">
      <alignment horizontal="right"/>
    </xf>
    <xf numFmtId="175" fontId="40" fillId="19" borderId="66" xfId="0" applyNumberFormat="1" applyFont="1" applyFill="1" applyBorder="1" applyAlignment="1" applyProtection="1">
      <alignment horizontal="right" vertical="center"/>
      <protection locked="0"/>
    </xf>
    <xf numFmtId="175" fontId="40" fillId="19" borderId="63" xfId="0" applyNumberFormat="1" applyFont="1" applyFill="1" applyBorder="1" applyAlignment="1" applyProtection="1">
      <alignment horizontal="right" vertical="center"/>
      <protection locked="0"/>
    </xf>
    <xf numFmtId="175" fontId="31" fillId="22" borderId="66" xfId="0" applyNumberFormat="1" applyFont="1" applyFill="1" applyBorder="1" applyAlignment="1">
      <alignment horizontal="right" vertical="center"/>
    </xf>
    <xf numFmtId="0" fontId="42" fillId="0" borderId="0" xfId="0" applyFont="1" applyBorder="1" applyAlignment="1" applyProtection="1">
      <alignment horizontal="left" vertical="center" wrapText="1"/>
    </xf>
    <xf numFmtId="175" fontId="40" fillId="20" borderId="76" xfId="0" applyNumberFormat="1" applyFont="1" applyFill="1" applyBorder="1" applyAlignment="1">
      <alignment horizontal="right" vertical="center"/>
    </xf>
    <xf numFmtId="175" fontId="40" fillId="20" borderId="77" xfId="0" applyNumberFormat="1" applyFont="1" applyFill="1" applyBorder="1" applyAlignment="1">
      <alignment horizontal="right" vertical="center"/>
    </xf>
    <xf numFmtId="175" fontId="31" fillId="20" borderId="31" xfId="0" applyNumberFormat="1" applyFont="1" applyFill="1" applyBorder="1" applyAlignment="1">
      <alignment horizontal="right" vertical="center"/>
    </xf>
    <xf numFmtId="175" fontId="31" fillId="0" borderId="0" xfId="0" applyNumberFormat="1" applyFont="1" applyFill="1" applyAlignment="1">
      <alignment horizontal="right" vertical="center"/>
    </xf>
    <xf numFmtId="175" fontId="40" fillId="19" borderId="31" xfId="0" applyNumberFormat="1" applyFont="1" applyFill="1" applyBorder="1" applyAlignment="1" applyProtection="1">
      <alignment horizontal="right" vertical="center"/>
      <protection locked="0"/>
    </xf>
    <xf numFmtId="0" fontId="31" fillId="0" borderId="0" xfId="0" applyFont="1" applyFill="1" applyAlignment="1" applyProtection="1">
      <alignment vertical="center"/>
    </xf>
    <xf numFmtId="175" fontId="40" fillId="20" borderId="84" xfId="0" applyNumberFormat="1" applyFont="1" applyFill="1" applyBorder="1" applyAlignment="1">
      <alignment horizontal="right" vertical="center"/>
    </xf>
    <xf numFmtId="175" fontId="40" fillId="20" borderId="82" xfId="0" applyNumberFormat="1" applyFont="1" applyFill="1" applyBorder="1" applyAlignment="1">
      <alignment horizontal="right" vertical="center"/>
    </xf>
    <xf numFmtId="175" fontId="40" fillId="20" borderId="66" xfId="0" applyNumberFormat="1" applyFont="1" applyFill="1" applyBorder="1" applyAlignment="1">
      <alignment horizontal="right" vertical="center"/>
    </xf>
    <xf numFmtId="175" fontId="40" fillId="19" borderId="62" xfId="0" applyNumberFormat="1" applyFont="1" applyFill="1" applyBorder="1" applyAlignment="1" applyProtection="1">
      <alignment horizontal="right" vertical="center"/>
      <protection locked="0"/>
    </xf>
    <xf numFmtId="175" fontId="31" fillId="22" borderId="70" xfId="0" applyNumberFormat="1" applyFont="1" applyFill="1" applyBorder="1" applyAlignment="1">
      <alignment horizontal="right" vertical="center"/>
    </xf>
    <xf numFmtId="175" fontId="40" fillId="20" borderId="66" xfId="0" applyNumberFormat="1" applyFont="1" applyFill="1" applyBorder="1" applyAlignment="1" applyProtection="1">
      <alignment horizontal="right" vertical="center"/>
    </xf>
    <xf numFmtId="175" fontId="31" fillId="20" borderId="66" xfId="0" applyNumberFormat="1" applyFont="1" applyFill="1" applyBorder="1" applyAlignment="1" applyProtection="1">
      <alignment horizontal="right" vertical="center"/>
    </xf>
    <xf numFmtId="175" fontId="40" fillId="20" borderId="31" xfId="0" applyNumberFormat="1" applyFont="1" applyFill="1" applyBorder="1" applyAlignment="1">
      <alignment horizontal="right" vertical="center"/>
    </xf>
    <xf numFmtId="175" fontId="40" fillId="19" borderId="78" xfId="0" applyNumberFormat="1" applyFont="1" applyFill="1" applyBorder="1" applyAlignment="1" applyProtection="1">
      <alignment horizontal="right" vertical="center"/>
      <protection locked="0"/>
    </xf>
    <xf numFmtId="0" fontId="42" fillId="0" borderId="0" xfId="0" applyFont="1" applyBorder="1" applyAlignment="1">
      <alignment vertical="center"/>
    </xf>
    <xf numFmtId="175" fontId="42" fillId="22" borderId="31" xfId="0" applyNumberFormat="1" applyFont="1" applyFill="1" applyBorder="1" applyAlignment="1">
      <alignment horizontal="right" vertical="center"/>
    </xf>
    <xf numFmtId="175" fontId="42" fillId="0" borderId="0" xfId="0" applyNumberFormat="1" applyFont="1" applyAlignment="1">
      <alignment horizontal="right" vertical="center"/>
    </xf>
    <xf numFmtId="0" fontId="42" fillId="0" borderId="0" xfId="0" applyFont="1" applyAlignment="1" applyProtection="1">
      <alignment vertical="center"/>
    </xf>
    <xf numFmtId="0" fontId="31" fillId="0" borderId="0" xfId="0" applyFont="1" applyBorder="1" applyAlignment="1" applyProtection="1">
      <alignment vertical="center"/>
    </xf>
    <xf numFmtId="0" fontId="68" fillId="0" borderId="0" xfId="0" applyFont="1" applyAlignment="1" applyProtection="1">
      <alignment horizontal="center" vertical="center"/>
    </xf>
    <xf numFmtId="0" fontId="42" fillId="0" borderId="0" xfId="0" applyFont="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67" fillId="0" borderId="84" xfId="0" applyFont="1" applyFill="1" applyBorder="1" applyAlignment="1" applyProtection="1">
      <alignment vertical="center"/>
    </xf>
    <xf numFmtId="0" fontId="42" fillId="0" borderId="82" xfId="0" applyFont="1" applyBorder="1" applyAlignment="1" applyProtection="1">
      <alignment vertical="center"/>
    </xf>
    <xf numFmtId="0" fontId="42" fillId="0" borderId="66" xfId="0" applyFont="1" applyBorder="1" applyAlignment="1">
      <alignment horizontal="center" vertical="center" wrapText="1"/>
    </xf>
    <xf numFmtId="0" fontId="42" fillId="0" borderId="66" xfId="0" applyFont="1" applyFill="1" applyBorder="1" applyAlignment="1" applyProtection="1">
      <alignment horizontal="center" vertical="center" wrapText="1"/>
    </xf>
    <xf numFmtId="0" fontId="42" fillId="0" borderId="0" xfId="0" applyFont="1" applyFill="1" applyBorder="1" applyAlignment="1" applyProtection="1">
      <alignment vertical="center"/>
    </xf>
    <xf numFmtId="0" fontId="42" fillId="0" borderId="31" xfId="0" applyFont="1" applyBorder="1" applyAlignment="1">
      <alignment horizontal="center" vertical="center"/>
    </xf>
    <xf numFmtId="0" fontId="42" fillId="0" borderId="66" xfId="0" applyFont="1" applyBorder="1" applyAlignment="1">
      <alignment horizontal="center" vertical="center"/>
    </xf>
    <xf numFmtId="175" fontId="40" fillId="19" borderId="48" xfId="0" applyNumberFormat="1" applyFont="1" applyFill="1" applyBorder="1" applyAlignment="1" applyProtection="1">
      <alignment horizontal="right" vertical="center"/>
      <protection locked="0"/>
    </xf>
    <xf numFmtId="175" fontId="40" fillId="19" borderId="44" xfId="0" applyNumberFormat="1" applyFont="1" applyFill="1" applyBorder="1" applyAlignment="1" applyProtection="1">
      <alignment horizontal="right" vertical="center"/>
      <protection locked="0"/>
    </xf>
    <xf numFmtId="0" fontId="32" fillId="0" borderId="0" xfId="0" applyFont="1" applyBorder="1" applyAlignment="1" applyProtection="1">
      <alignment vertical="center"/>
    </xf>
    <xf numFmtId="0" fontId="57" fillId="0" borderId="0" xfId="0" applyFont="1" applyBorder="1" applyAlignment="1" applyProtection="1">
      <alignment vertical="center"/>
    </xf>
    <xf numFmtId="0" fontId="31" fillId="0" borderId="0" xfId="0" applyFont="1" applyBorder="1" applyAlignment="1" applyProtection="1">
      <alignment vertical="center" wrapText="1"/>
    </xf>
    <xf numFmtId="175" fontId="40" fillId="19" borderId="59" xfId="0" applyNumberFormat="1" applyFont="1" applyFill="1" applyBorder="1" applyAlignment="1" applyProtection="1">
      <alignment horizontal="right" vertical="center"/>
      <protection locked="0"/>
    </xf>
    <xf numFmtId="0" fontId="42" fillId="0" borderId="0" xfId="0" applyFont="1" applyBorder="1" applyAlignment="1" applyProtection="1">
      <alignment vertical="center" wrapText="1"/>
    </xf>
    <xf numFmtId="175" fontId="42" fillId="22" borderId="67" xfId="0" applyNumberFormat="1" applyFont="1" applyFill="1" applyBorder="1" applyAlignment="1">
      <alignment horizontal="right" vertical="center"/>
    </xf>
    <xf numFmtId="0" fontId="42" fillId="0" borderId="0" xfId="0" applyFont="1" applyBorder="1" applyAlignment="1">
      <alignment horizontal="center" vertical="center"/>
    </xf>
    <xf numFmtId="0" fontId="31" fillId="0" borderId="0" xfId="0" applyFont="1" applyFill="1" applyAlignment="1">
      <alignment vertical="center"/>
    </xf>
    <xf numFmtId="0" fontId="31" fillId="0" borderId="0" xfId="0" applyFont="1" applyFill="1" applyBorder="1" applyAlignment="1">
      <alignment vertical="center"/>
    </xf>
    <xf numFmtId="0" fontId="31" fillId="0" borderId="0" xfId="0" applyFont="1" applyFill="1" applyBorder="1" applyAlignment="1" applyProtection="1">
      <alignment vertical="center"/>
    </xf>
    <xf numFmtId="0" fontId="57"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1" fillId="0" borderId="0" xfId="0" applyFont="1" applyAlignment="1" applyProtection="1"/>
    <xf numFmtId="0" fontId="31" fillId="11" borderId="82" xfId="0" applyFont="1" applyFill="1" applyBorder="1" applyAlignment="1">
      <alignment horizontal="centerContinuous" vertical="center"/>
    </xf>
    <xf numFmtId="0" fontId="31" fillId="11" borderId="67" xfId="0" applyFont="1" applyFill="1" applyBorder="1" applyAlignment="1">
      <alignment horizontal="centerContinuous" vertical="center"/>
    </xf>
    <xf numFmtId="0" fontId="31" fillId="11" borderId="72" xfId="0" applyFont="1" applyFill="1" applyBorder="1" applyAlignment="1" applyProtection="1">
      <alignment horizontal="center" textRotation="90" wrapText="1"/>
    </xf>
    <xf numFmtId="0" fontId="31" fillId="11" borderId="23" xfId="0" applyFont="1" applyFill="1" applyBorder="1" applyAlignment="1" applyProtection="1">
      <alignment horizontal="center" textRotation="90" wrapText="1"/>
    </xf>
    <xf numFmtId="0" fontId="31" fillId="11" borderId="61" xfId="0" applyFont="1" applyFill="1" applyBorder="1" applyAlignment="1" applyProtection="1">
      <alignment horizontal="center" textRotation="90" wrapText="1"/>
    </xf>
    <xf numFmtId="0" fontId="31" fillId="11" borderId="62" xfId="0" applyFont="1" applyFill="1" applyBorder="1" applyAlignment="1" applyProtection="1">
      <alignment horizontal="center" textRotation="90" wrapText="1"/>
    </xf>
    <xf numFmtId="0" fontId="42" fillId="11" borderId="66" xfId="0" applyFont="1" applyFill="1" applyBorder="1" applyAlignment="1" applyProtection="1">
      <alignment horizontal="center" textRotation="90"/>
    </xf>
    <xf numFmtId="0" fontId="42" fillId="0" borderId="72" xfId="0" applyFont="1" applyBorder="1" applyAlignment="1">
      <alignment horizontal="center"/>
    </xf>
    <xf numFmtId="0" fontId="42" fillId="0" borderId="23" xfId="0" applyFont="1" applyBorder="1" applyAlignment="1">
      <alignment horizontal="center"/>
    </xf>
    <xf numFmtId="0" fontId="42" fillId="0" borderId="80" xfId="0" applyFont="1" applyBorder="1" applyAlignment="1">
      <alignment horizontal="center"/>
    </xf>
    <xf numFmtId="0" fontId="42" fillId="0" borderId="21" xfId="0" applyFont="1" applyBorder="1" applyAlignment="1">
      <alignment horizontal="center"/>
    </xf>
    <xf numFmtId="0" fontId="42" fillId="20" borderId="17" xfId="0" applyFont="1" applyFill="1" applyBorder="1" applyAlignment="1">
      <alignment horizontal="center"/>
    </xf>
    <xf numFmtId="0" fontId="42" fillId="20" borderId="27" xfId="0" applyFont="1" applyFill="1" applyBorder="1" applyAlignment="1">
      <alignment horizontal="center"/>
    </xf>
    <xf numFmtId="0" fontId="42" fillId="20" borderId="0" xfId="0" applyFont="1" applyFill="1" applyBorder="1" applyAlignment="1">
      <alignment horizontal="center"/>
    </xf>
    <xf numFmtId="0" fontId="31" fillId="20" borderId="28" xfId="0" applyFont="1" applyFill="1" applyBorder="1" applyAlignment="1"/>
    <xf numFmtId="175" fontId="40" fillId="19" borderId="12" xfId="0" applyNumberFormat="1" applyFont="1" applyFill="1" applyBorder="1" applyAlignment="1" applyProtection="1">
      <protection locked="0"/>
    </xf>
    <xf numFmtId="175" fontId="40" fillId="20" borderId="30" xfId="0" applyNumberFormat="1" applyFont="1" applyFill="1" applyBorder="1" applyAlignment="1" applyProtection="1"/>
    <xf numFmtId="175" fontId="40" fillId="20" borderId="10" xfId="0" applyNumberFormat="1" applyFont="1" applyFill="1" applyBorder="1" applyAlignment="1" applyProtection="1"/>
    <xf numFmtId="175" fontId="40" fillId="20" borderId="10" xfId="0" applyNumberFormat="1" applyFont="1" applyFill="1" applyBorder="1" applyAlignment="1"/>
    <xf numFmtId="175" fontId="31" fillId="22" borderId="28" xfId="0" applyNumberFormat="1" applyFont="1" applyFill="1" applyBorder="1" applyAlignment="1"/>
    <xf numFmtId="175" fontId="42" fillId="20" borderId="17" xfId="0" applyNumberFormat="1" applyFont="1" applyFill="1" applyBorder="1" applyAlignment="1">
      <alignment horizontal="center"/>
    </xf>
    <xf numFmtId="175" fontId="42" fillId="20" borderId="27" xfId="0" applyNumberFormat="1" applyFont="1" applyFill="1" applyBorder="1" applyAlignment="1">
      <alignment horizontal="center"/>
    </xf>
    <xf numFmtId="175" fontId="31" fillId="20" borderId="28" xfId="0" applyNumberFormat="1" applyFont="1" applyFill="1" applyBorder="1" applyAlignment="1"/>
    <xf numFmtId="175" fontId="40" fillId="20" borderId="12" xfId="0" applyNumberFormat="1" applyFont="1" applyFill="1" applyBorder="1" applyAlignment="1" applyProtection="1"/>
    <xf numFmtId="175" fontId="40" fillId="20" borderId="12" xfId="0" applyNumberFormat="1" applyFont="1" applyFill="1" applyBorder="1" applyAlignment="1"/>
    <xf numFmtId="175" fontId="40" fillId="20" borderId="30" xfId="0" applyNumberFormat="1" applyFont="1" applyFill="1" applyBorder="1" applyAlignment="1"/>
    <xf numFmtId="175" fontId="42" fillId="22" borderId="12" xfId="0" applyNumberFormat="1" applyFont="1" applyFill="1" applyBorder="1" applyAlignment="1"/>
    <xf numFmtId="175" fontId="42" fillId="22" borderId="11" xfId="0" applyNumberFormat="1" applyFont="1" applyFill="1" applyBorder="1" applyAlignment="1"/>
    <xf numFmtId="175" fontId="42" fillId="22" borderId="28" xfId="0" applyNumberFormat="1" applyFont="1" applyFill="1" applyBorder="1" applyAlignment="1"/>
    <xf numFmtId="0" fontId="68" fillId="0" borderId="0" xfId="0" quotePrefix="1" applyFont="1" applyAlignment="1" applyProtection="1"/>
    <xf numFmtId="175" fontId="42" fillId="22" borderId="30" xfId="0" applyNumberFormat="1" applyFont="1" applyFill="1" applyBorder="1" applyAlignment="1"/>
    <xf numFmtId="175" fontId="42" fillId="22" borderId="10" xfId="0" applyNumberFormat="1" applyFont="1" applyFill="1" applyBorder="1" applyAlignment="1"/>
    <xf numFmtId="0" fontId="31" fillId="0" borderId="0" xfId="0" quotePrefix="1" applyFont="1" applyAlignment="1" applyProtection="1"/>
    <xf numFmtId="175" fontId="40" fillId="20" borderId="54" xfId="0" applyNumberFormat="1" applyFont="1" applyFill="1" applyBorder="1" applyAlignment="1"/>
    <xf numFmtId="175" fontId="31" fillId="20" borderId="54" xfId="0" applyNumberFormat="1" applyFont="1" applyFill="1" applyBorder="1" applyAlignment="1"/>
    <xf numFmtId="175" fontId="42" fillId="22" borderId="70" xfId="0" applyNumberFormat="1" applyFont="1" applyFill="1" applyBorder="1" applyAlignment="1"/>
    <xf numFmtId="0" fontId="68" fillId="0" borderId="0" xfId="0" applyFont="1" applyAlignment="1" applyProtection="1"/>
    <xf numFmtId="175" fontId="42" fillId="22" borderId="60" xfId="0" applyNumberFormat="1" applyFont="1" applyFill="1" applyBorder="1" applyAlignment="1"/>
    <xf numFmtId="175" fontId="42" fillId="22" borderId="61" xfId="0" applyNumberFormat="1" applyFont="1" applyFill="1" applyBorder="1" applyAlignment="1"/>
    <xf numFmtId="175" fontId="42" fillId="22" borderId="89" xfId="0" applyNumberFormat="1" applyFont="1" applyFill="1" applyBorder="1" applyAlignment="1"/>
    <xf numFmtId="175" fontId="42" fillId="22" borderId="66" xfId="0" applyNumberFormat="1" applyFont="1" applyFill="1" applyBorder="1" applyAlignment="1"/>
    <xf numFmtId="0" fontId="40" fillId="0" borderId="0" xfId="0" applyFont="1" applyFill="1" applyBorder="1" applyAlignment="1"/>
    <xf numFmtId="0" fontId="31" fillId="0" borderId="0" xfId="0" applyFont="1" applyFill="1" applyBorder="1" applyAlignment="1"/>
    <xf numFmtId="0" fontId="68" fillId="0" borderId="0" xfId="0" applyFont="1" applyBorder="1" applyAlignment="1">
      <alignment horizontal="center"/>
    </xf>
    <xf numFmtId="0" fontId="42" fillId="28" borderId="82" xfId="0" applyFont="1" applyFill="1" applyBorder="1" applyAlignment="1" applyProtection="1">
      <alignment vertical="center" wrapText="1"/>
    </xf>
    <xf numFmtId="0" fontId="42" fillId="28" borderId="67" xfId="0" applyFont="1" applyFill="1" applyBorder="1" applyAlignment="1" applyProtection="1">
      <alignment horizontal="center" vertical="center" wrapText="1"/>
    </xf>
    <xf numFmtId="0" fontId="42" fillId="0" borderId="0" xfId="0" applyFont="1" applyAlignment="1" applyProtection="1"/>
    <xf numFmtId="0" fontId="42" fillId="28" borderId="25" xfId="0" applyFont="1" applyFill="1" applyBorder="1" applyAlignment="1" applyProtection="1">
      <alignment horizontal="center" vertical="center" wrapText="1"/>
    </xf>
    <xf numFmtId="0" fontId="42" fillId="28" borderId="21" xfId="0" applyFont="1" applyFill="1" applyBorder="1" applyAlignment="1" applyProtection="1">
      <alignment horizontal="center" vertical="top" wrapText="1"/>
    </xf>
    <xf numFmtId="0" fontId="42" fillId="0" borderId="66" xfId="0" applyFont="1" applyBorder="1" applyAlignment="1">
      <alignment horizontal="center"/>
    </xf>
    <xf numFmtId="0" fontId="31" fillId="0" borderId="90" xfId="0" applyFont="1" applyFill="1" applyBorder="1" applyAlignment="1" applyProtection="1">
      <alignment vertical="center"/>
    </xf>
    <xf numFmtId="175" fontId="40" fillId="19" borderId="28" xfId="0" applyNumberFormat="1" applyFont="1" applyFill="1" applyBorder="1" applyAlignment="1" applyProtection="1">
      <protection locked="0"/>
    </xf>
    <xf numFmtId="175" fontId="31" fillId="22" borderId="65" xfId="0" applyNumberFormat="1" applyFont="1" applyFill="1" applyBorder="1" applyAlignment="1"/>
    <xf numFmtId="0" fontId="31" fillId="0" borderId="83" xfId="0" applyFont="1" applyFill="1" applyBorder="1" applyAlignment="1" applyProtection="1">
      <alignment vertical="center"/>
    </xf>
    <xf numFmtId="175" fontId="40" fillId="19" borderId="71" xfId="0" applyNumberFormat="1" applyFont="1" applyFill="1" applyBorder="1" applyAlignment="1" applyProtection="1">
      <protection locked="0"/>
    </xf>
    <xf numFmtId="175" fontId="31" fillId="22" borderId="71" xfId="0" applyNumberFormat="1" applyFont="1" applyFill="1" applyBorder="1" applyAlignment="1"/>
    <xf numFmtId="0" fontId="31" fillId="0" borderId="10" xfId="0" applyFont="1" applyFill="1" applyBorder="1" applyAlignment="1" applyProtection="1">
      <alignment vertical="center"/>
    </xf>
    <xf numFmtId="0" fontId="31" fillId="0" borderId="83" xfId="0" applyFont="1" applyBorder="1" applyAlignment="1" applyProtection="1">
      <alignment vertical="center"/>
    </xf>
    <xf numFmtId="0" fontId="31" fillId="0" borderId="10" xfId="0" applyFont="1" applyBorder="1" applyAlignment="1" applyProtection="1">
      <alignment vertical="center"/>
    </xf>
    <xf numFmtId="175" fontId="31" fillId="22" borderId="66" xfId="0" applyNumberFormat="1" applyFont="1" applyFill="1" applyBorder="1" applyAlignment="1"/>
    <xf numFmtId="0" fontId="68" fillId="0" borderId="0" xfId="0" applyFont="1" applyAlignment="1" applyProtection="1">
      <alignment vertical="center"/>
    </xf>
    <xf numFmtId="0" fontId="33" fillId="28" borderId="66" xfId="0" applyFont="1" applyFill="1" applyBorder="1" applyAlignment="1" applyProtection="1">
      <alignment horizontal="center" vertical="center" wrapText="1"/>
    </xf>
    <xf numFmtId="175" fontId="42" fillId="22" borderId="88" xfId="0" applyNumberFormat="1" applyFont="1" applyFill="1" applyBorder="1" applyAlignment="1"/>
    <xf numFmtId="175" fontId="42" fillId="22" borderId="71" xfId="0" applyNumberFormat="1" applyFont="1" applyFill="1" applyBorder="1" applyAlignment="1"/>
    <xf numFmtId="175" fontId="0" fillId="22" borderId="66" xfId="0" applyNumberFormat="1" applyFill="1" applyBorder="1" applyAlignment="1"/>
    <xf numFmtId="0" fontId="33" fillId="0" borderId="0" xfId="0" applyFont="1" applyBorder="1" applyAlignment="1" applyProtection="1">
      <alignment vertical="center"/>
    </xf>
    <xf numFmtId="0" fontId="33" fillId="0" borderId="0" xfId="0" applyFont="1" applyBorder="1" applyAlignment="1" applyProtection="1">
      <alignment vertical="center" wrapText="1"/>
    </xf>
    <xf numFmtId="0" fontId="33" fillId="0" borderId="0" xfId="0" applyFont="1" applyBorder="1" applyAlignment="1" applyProtection="1">
      <alignment wrapText="1"/>
    </xf>
    <xf numFmtId="0" fontId="70" fillId="0" borderId="0" xfId="0" applyFont="1" applyFill="1" applyBorder="1" applyAlignment="1"/>
    <xf numFmtId="0" fontId="70" fillId="0" borderId="0" xfId="0" applyFont="1" applyFill="1" applyBorder="1" applyAlignment="1">
      <alignment vertical="center"/>
    </xf>
    <xf numFmtId="175" fontId="42" fillId="0" borderId="66" xfId="0" applyNumberFormat="1" applyFont="1" applyFill="1" applyBorder="1" applyAlignment="1"/>
    <xf numFmtId="175" fontId="31" fillId="0" borderId="28" xfId="0" applyNumberFormat="1" applyFont="1" applyFill="1" applyBorder="1" applyAlignment="1" applyProtection="1">
      <protection locked="0"/>
    </xf>
    <xf numFmtId="0" fontId="58" fillId="30" borderId="79" xfId="0" applyFont="1" applyFill="1" applyBorder="1" applyAlignment="1">
      <alignment vertical="center"/>
    </xf>
    <xf numFmtId="0" fontId="42" fillId="30" borderId="80" xfId="0" applyFont="1" applyFill="1" applyBorder="1" applyAlignment="1">
      <alignment vertical="center"/>
    </xf>
    <xf numFmtId="0" fontId="42" fillId="30" borderId="82" xfId="0" applyFont="1" applyFill="1" applyBorder="1" applyAlignment="1" applyProtection="1">
      <alignment horizontal="center" vertical="center" wrapText="1"/>
    </xf>
    <xf numFmtId="0" fontId="42" fillId="30" borderId="67" xfId="0" applyFont="1" applyFill="1" applyBorder="1" applyAlignment="1" applyProtection="1">
      <alignment horizontal="center" vertical="center" wrapText="1"/>
    </xf>
    <xf numFmtId="0" fontId="42" fillId="30" borderId="78" xfId="0" applyFont="1" applyFill="1" applyBorder="1" applyAlignment="1" applyProtection="1">
      <alignment horizontal="center" vertical="center" wrapText="1"/>
    </xf>
    <xf numFmtId="0" fontId="42" fillId="30" borderId="31" xfId="0" applyFont="1" applyFill="1" applyBorder="1" applyAlignment="1" applyProtection="1">
      <alignment horizontal="center" vertical="center" wrapText="1"/>
    </xf>
    <xf numFmtId="0" fontId="42" fillId="0" borderId="67" xfId="0" applyFont="1" applyBorder="1" applyAlignment="1">
      <alignment horizontal="center" vertical="center"/>
    </xf>
    <xf numFmtId="175" fontId="42" fillId="22" borderId="66" xfId="0" applyNumberFormat="1" applyFont="1" applyFill="1" applyBorder="1" applyAlignment="1">
      <alignment vertical="center"/>
    </xf>
    <xf numFmtId="0" fontId="3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3" fillId="0" borderId="77" xfId="0" applyFont="1" applyBorder="1" applyAlignment="1">
      <alignment vertical="center"/>
    </xf>
    <xf numFmtId="0" fontId="33" fillId="0" borderId="0" xfId="0" applyFont="1" applyBorder="1" applyAlignment="1">
      <alignment vertical="center"/>
    </xf>
    <xf numFmtId="0" fontId="3" fillId="0" borderId="79" xfId="0" applyFont="1" applyBorder="1" applyAlignment="1">
      <alignment vertical="center"/>
    </xf>
    <xf numFmtId="0" fontId="33" fillId="0" borderId="0" xfId="0" applyFont="1" applyFill="1" applyBorder="1" applyAlignment="1">
      <alignment horizontal="left" vertical="center"/>
    </xf>
    <xf numFmtId="0" fontId="33" fillId="0" borderId="80" xfId="0" applyFont="1" applyBorder="1" applyAlignment="1" applyProtection="1">
      <alignment vertical="center"/>
    </xf>
    <xf numFmtId="0" fontId="3" fillId="0" borderId="80" xfId="0" applyFont="1" applyFill="1" applyBorder="1" applyAlignment="1">
      <alignment vertical="center"/>
    </xf>
    <xf numFmtId="0" fontId="3" fillId="0" borderId="80" xfId="0" applyFont="1" applyBorder="1" applyAlignment="1">
      <alignment horizontal="center" vertical="center"/>
    </xf>
    <xf numFmtId="0" fontId="3" fillId="0" borderId="81" xfId="0" applyFont="1" applyFill="1" applyBorder="1" applyAlignment="1">
      <alignment vertical="center"/>
    </xf>
    <xf numFmtId="0" fontId="3" fillId="0" borderId="45" xfId="0" applyFont="1" applyBorder="1" applyAlignment="1">
      <alignment vertical="center"/>
    </xf>
    <xf numFmtId="0" fontId="33" fillId="0" borderId="66" xfId="0" applyFont="1" applyFill="1" applyBorder="1" applyAlignment="1">
      <alignment horizontal="center" vertical="center"/>
    </xf>
    <xf numFmtId="0" fontId="3" fillId="0" borderId="46" xfId="0" applyFont="1" applyFill="1" applyBorder="1" applyAlignment="1">
      <alignment vertical="center"/>
    </xf>
    <xf numFmtId="0" fontId="3" fillId="0" borderId="45" xfId="0" applyFont="1" applyBorder="1" applyAlignment="1" applyProtection="1">
      <alignment vertical="center"/>
    </xf>
    <xf numFmtId="0" fontId="3" fillId="0" borderId="0" xfId="0" applyFont="1" applyFill="1" applyBorder="1" applyAlignment="1" applyProtection="1">
      <alignment vertical="center"/>
    </xf>
    <xf numFmtId="0" fontId="3" fillId="0" borderId="21" xfId="0" applyFont="1" applyFill="1" applyBorder="1" applyAlignment="1" applyProtection="1">
      <alignment vertical="center"/>
    </xf>
    <xf numFmtId="0" fontId="33" fillId="0" borderId="81" xfId="0" applyFont="1" applyFill="1" applyBorder="1" applyAlignment="1" applyProtection="1">
      <alignment horizontal="center" vertical="center"/>
    </xf>
    <xf numFmtId="0" fontId="32" fillId="0" borderId="45" xfId="0" applyFont="1" applyBorder="1" applyAlignment="1" applyProtection="1">
      <alignment vertical="center"/>
    </xf>
    <xf numFmtId="0" fontId="32" fillId="0" borderId="0" xfId="0" applyFont="1" applyBorder="1" applyAlignment="1" applyProtection="1">
      <alignment horizontal="left" vertical="center"/>
    </xf>
    <xf numFmtId="0" fontId="32" fillId="0" borderId="0" xfId="0" applyFont="1" applyFill="1" applyBorder="1" applyAlignment="1" applyProtection="1">
      <alignment vertical="center"/>
    </xf>
    <xf numFmtId="175" fontId="3" fillId="0" borderId="46" xfId="0" applyNumberFormat="1" applyFont="1" applyFill="1" applyBorder="1" applyAlignment="1">
      <alignment vertical="center"/>
    </xf>
    <xf numFmtId="175" fontId="3" fillId="0" borderId="0" xfId="0" applyNumberFormat="1" applyFont="1" applyFill="1" applyBorder="1" applyAlignment="1">
      <alignment vertical="center"/>
    </xf>
    <xf numFmtId="0" fontId="32"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2" fillId="0" borderId="45" xfId="0" applyFont="1" applyBorder="1" applyAlignment="1">
      <alignment vertical="center"/>
    </xf>
    <xf numFmtId="0" fontId="3" fillId="0" borderId="76" xfId="0" applyFont="1" applyBorder="1" applyAlignment="1">
      <alignment vertical="center"/>
    </xf>
    <xf numFmtId="0" fontId="3" fillId="0" borderId="77" xfId="0" applyFont="1" applyFill="1" applyBorder="1" applyAlignment="1">
      <alignment vertical="center"/>
    </xf>
    <xf numFmtId="0" fontId="3" fillId="0" borderId="77" xfId="0" applyFont="1" applyBorder="1" applyAlignment="1">
      <alignment vertical="center"/>
    </xf>
    <xf numFmtId="175" fontId="3" fillId="0" borderId="77" xfId="0" applyNumberFormat="1" applyFont="1" applyFill="1" applyBorder="1" applyAlignment="1">
      <alignment vertical="center"/>
    </xf>
    <xf numFmtId="175" fontId="3" fillId="0" borderId="78" xfId="0" applyNumberFormat="1" applyFont="1" applyFill="1" applyBorder="1" applyAlignment="1">
      <alignment vertical="center"/>
    </xf>
    <xf numFmtId="0" fontId="33" fillId="0" borderId="0" xfId="0" applyFont="1" applyFill="1" applyBorder="1" applyAlignment="1">
      <alignment horizontal="right" vertical="center"/>
    </xf>
    <xf numFmtId="0" fontId="33" fillId="0" borderId="80" xfId="0" applyFont="1" applyFill="1" applyBorder="1" applyAlignment="1">
      <alignment horizontal="left" vertical="center"/>
    </xf>
    <xf numFmtId="0" fontId="3" fillId="0" borderId="80" xfId="0" applyFont="1" applyBorder="1" applyAlignment="1">
      <alignment vertical="center"/>
    </xf>
    <xf numFmtId="175" fontId="32" fillId="0" borderId="80" xfId="0" applyNumberFormat="1" applyFont="1" applyFill="1" applyBorder="1" applyAlignment="1">
      <alignment vertical="center"/>
    </xf>
    <xf numFmtId="175" fontId="3" fillId="0" borderId="80" xfId="0" applyNumberFormat="1" applyFont="1" applyFill="1" applyBorder="1" applyAlignment="1">
      <alignment vertical="center"/>
    </xf>
    <xf numFmtId="175" fontId="32" fillId="0" borderId="0" xfId="0" applyNumberFormat="1" applyFont="1" applyFill="1" applyBorder="1" applyAlignment="1">
      <alignment vertical="center"/>
    </xf>
    <xf numFmtId="0" fontId="3" fillId="0" borderId="45" xfId="0" applyFont="1" applyFill="1" applyBorder="1" applyAlignment="1">
      <alignment vertical="center"/>
    </xf>
    <xf numFmtId="175" fontId="33" fillId="0" borderId="66" xfId="0" applyNumberFormat="1" applyFont="1" applyFill="1" applyBorder="1" applyAlignment="1">
      <alignment horizontal="center" vertical="center"/>
    </xf>
    <xf numFmtId="175" fontId="32" fillId="0" borderId="0" xfId="0" applyNumberFormat="1" applyFont="1" applyBorder="1" applyAlignment="1" applyProtection="1">
      <alignment vertical="center"/>
    </xf>
    <xf numFmtId="0" fontId="32" fillId="0" borderId="45" xfId="0" applyFont="1" applyFill="1" applyBorder="1" applyAlignment="1">
      <alignment vertical="center"/>
    </xf>
    <xf numFmtId="0" fontId="32" fillId="0" borderId="46" xfId="0" applyFont="1" applyFill="1" applyBorder="1" applyAlignment="1">
      <alignment vertical="center"/>
    </xf>
    <xf numFmtId="0" fontId="33" fillId="0" borderId="0" xfId="0" applyFont="1" applyBorder="1" applyAlignment="1" applyProtection="1">
      <alignment horizontal="right" vertical="center"/>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176" fontId="33" fillId="0" borderId="37" xfId="0" applyNumberFormat="1" applyFont="1" applyBorder="1" applyAlignment="1">
      <alignment horizontal="center" vertical="center"/>
    </xf>
    <xf numFmtId="176" fontId="33" fillId="0" borderId="36" xfId="0" applyNumberFormat="1" applyFont="1" applyBorder="1" applyAlignment="1">
      <alignment horizontal="center" vertical="center"/>
    </xf>
    <xf numFmtId="0" fontId="32" fillId="0" borderId="0" xfId="0" applyFont="1" applyBorder="1" applyAlignment="1">
      <alignment horizontal="left" vertical="center"/>
    </xf>
    <xf numFmtId="175" fontId="32" fillId="0" borderId="46" xfId="0" applyNumberFormat="1" applyFont="1" applyFill="1" applyBorder="1" applyAlignment="1">
      <alignment vertical="center"/>
    </xf>
    <xf numFmtId="0" fontId="32" fillId="0" borderId="82" xfId="0" applyFont="1" applyFill="1" applyBorder="1" applyAlignment="1">
      <alignment vertical="center"/>
    </xf>
    <xf numFmtId="175" fontId="32" fillId="0" borderId="66" xfId="0" applyNumberFormat="1" applyFont="1" applyFill="1" applyBorder="1" applyAlignment="1">
      <alignment horizontal="center" vertical="center" wrapText="1"/>
    </xf>
    <xf numFmtId="175" fontId="34" fillId="20" borderId="21" xfId="0" applyNumberFormat="1" applyFont="1" applyFill="1" applyBorder="1" applyAlignment="1" applyProtection="1">
      <alignment vertical="center"/>
    </xf>
    <xf numFmtId="175" fontId="34" fillId="19" borderId="31" xfId="0" applyNumberFormat="1" applyFont="1" applyFill="1" applyBorder="1" applyAlignment="1" applyProtection="1">
      <alignment vertical="center"/>
      <protection locked="0"/>
    </xf>
    <xf numFmtId="175" fontId="33" fillId="22" borderId="68" xfId="0" applyNumberFormat="1" applyFont="1" applyFill="1" applyBorder="1" applyAlignment="1" applyProtection="1">
      <alignment vertical="center"/>
    </xf>
    <xf numFmtId="175" fontId="71" fillId="0" borderId="66" xfId="0" applyNumberFormat="1" applyFont="1" applyFill="1" applyBorder="1" applyAlignment="1">
      <alignment horizontal="center" vertical="center"/>
    </xf>
    <xf numFmtId="175" fontId="71" fillId="0" borderId="66" xfId="0" applyNumberFormat="1" applyFont="1" applyFill="1" applyBorder="1" applyAlignment="1">
      <alignment horizontal="center" vertical="center" textRotation="90" wrapText="1"/>
    </xf>
    <xf numFmtId="175" fontId="71" fillId="0" borderId="21" xfId="0" applyNumberFormat="1" applyFont="1" applyFill="1" applyBorder="1" applyAlignment="1">
      <alignment horizontal="center" vertical="center"/>
    </xf>
    <xf numFmtId="175" fontId="71" fillId="0" borderId="21" xfId="0" applyNumberFormat="1" applyFont="1" applyFill="1" applyBorder="1" applyAlignment="1">
      <alignment horizontal="center" vertical="center" textRotation="90" wrapText="1"/>
    </xf>
    <xf numFmtId="0" fontId="32" fillId="0" borderId="76" xfId="0" applyFont="1" applyBorder="1" applyAlignment="1">
      <alignment vertical="center"/>
    </xf>
    <xf numFmtId="0" fontId="32" fillId="0" borderId="77" xfId="0" applyFont="1" applyBorder="1" applyAlignment="1">
      <alignment vertical="center"/>
    </xf>
    <xf numFmtId="0" fontId="33" fillId="0" borderId="77" xfId="0" applyFont="1" applyBorder="1" applyAlignment="1" applyProtection="1">
      <alignment horizontal="right" vertical="center"/>
    </xf>
    <xf numFmtId="0" fontId="32" fillId="0" borderId="77" xfId="0" applyFont="1" applyFill="1" applyBorder="1" applyAlignment="1">
      <alignment vertical="center"/>
    </xf>
    <xf numFmtId="0" fontId="45" fillId="0" borderId="77" xfId="0" quotePrefix="1" applyFont="1" applyBorder="1" applyAlignment="1" applyProtection="1">
      <alignment horizontal="center" vertical="center"/>
    </xf>
    <xf numFmtId="0" fontId="45" fillId="0" borderId="77" xfId="0" applyFont="1" applyBorder="1" applyAlignment="1" applyProtection="1">
      <alignment horizontal="center" vertical="center"/>
    </xf>
    <xf numFmtId="0" fontId="33" fillId="0" borderId="78" xfId="0" applyFont="1" applyBorder="1" applyAlignment="1" applyProtection="1">
      <alignment horizontal="right" vertical="center"/>
    </xf>
    <xf numFmtId="0" fontId="32" fillId="0" borderId="80" xfId="0" applyFont="1" applyBorder="1" applyAlignment="1" applyProtection="1">
      <alignment horizontal="left" vertical="center"/>
    </xf>
    <xf numFmtId="0" fontId="32" fillId="0" borderId="81" xfId="0" applyFont="1" applyFill="1" applyBorder="1" applyAlignment="1">
      <alignment vertical="center"/>
    </xf>
    <xf numFmtId="0" fontId="33" fillId="0" borderId="0" xfId="0" applyFont="1" applyFill="1" applyBorder="1" applyAlignment="1">
      <alignment vertical="center"/>
    </xf>
    <xf numFmtId="175" fontId="32" fillId="31" borderId="25" xfId="0" applyNumberFormat="1" applyFont="1" applyFill="1" applyBorder="1" applyAlignment="1" applyProtection="1">
      <alignment vertical="center"/>
    </xf>
    <xf numFmtId="175" fontId="34" fillId="31" borderId="26" xfId="0" applyNumberFormat="1" applyFont="1" applyFill="1" applyBorder="1" applyAlignment="1" applyProtection="1">
      <alignment vertical="center"/>
    </xf>
    <xf numFmtId="175" fontId="34" fillId="31" borderId="17" xfId="0" applyNumberFormat="1" applyFont="1" applyFill="1" applyBorder="1" applyAlignment="1" applyProtection="1">
      <alignment vertical="center"/>
    </xf>
    <xf numFmtId="175" fontId="34" fillId="31" borderId="27" xfId="0" applyNumberFormat="1" applyFont="1" applyFill="1" applyBorder="1" applyAlignment="1" applyProtection="1">
      <alignment vertical="center"/>
    </xf>
    <xf numFmtId="175" fontId="34" fillId="31" borderId="46" xfId="0" applyNumberFormat="1" applyFont="1" applyFill="1" applyBorder="1" applyAlignment="1" applyProtection="1">
      <alignment vertical="center"/>
    </xf>
    <xf numFmtId="175" fontId="34" fillId="31" borderId="35" xfId="0" applyNumberFormat="1" applyFont="1" applyFill="1" applyBorder="1" applyAlignment="1" applyProtection="1">
      <alignment vertical="center"/>
    </xf>
    <xf numFmtId="175" fontId="34" fillId="31" borderId="20" xfId="0" applyNumberFormat="1" applyFont="1" applyFill="1" applyBorder="1" applyAlignment="1" applyProtection="1">
      <alignment vertical="center"/>
    </xf>
    <xf numFmtId="175" fontId="34" fillId="31" borderId="37" xfId="0" applyNumberFormat="1" applyFont="1" applyFill="1" applyBorder="1" applyAlignment="1" applyProtection="1">
      <alignment vertical="center"/>
    </xf>
    <xf numFmtId="175" fontId="34" fillId="31" borderId="48" xfId="0" applyNumberFormat="1" applyFont="1" applyFill="1" applyBorder="1" applyAlignment="1" applyProtection="1">
      <alignment vertical="center"/>
    </xf>
    <xf numFmtId="0" fontId="33" fillId="0" borderId="0" xfId="0" applyFont="1" applyBorder="1" applyAlignment="1" applyProtection="1">
      <alignment horizontal="left" vertical="center"/>
    </xf>
    <xf numFmtId="175" fontId="33" fillId="31" borderId="71" xfId="0" applyNumberFormat="1" applyFont="1" applyFill="1" applyBorder="1" applyAlignment="1" applyProtection="1">
      <alignment vertical="center"/>
    </xf>
    <xf numFmtId="175" fontId="71" fillId="0" borderId="0" xfId="0" applyNumberFormat="1" applyFont="1" applyFill="1" applyBorder="1" applyAlignment="1">
      <alignment vertical="center"/>
    </xf>
    <xf numFmtId="175" fontId="32" fillId="22" borderId="66" xfId="0" applyNumberFormat="1" applyFont="1" applyFill="1" applyBorder="1" applyAlignment="1" applyProtection="1">
      <alignment vertical="center"/>
    </xf>
    <xf numFmtId="175" fontId="34" fillId="20" borderId="60" xfId="0" applyNumberFormat="1" applyFont="1" applyFill="1" applyBorder="1" applyAlignment="1" applyProtection="1">
      <alignment vertical="center"/>
    </xf>
    <xf numFmtId="175" fontId="34" fillId="19" borderId="60" xfId="0" applyNumberFormat="1" applyFont="1" applyFill="1" applyBorder="1" applyAlignment="1" applyProtection="1">
      <alignment vertical="center"/>
      <protection locked="0"/>
    </xf>
    <xf numFmtId="175" fontId="34" fillId="20" borderId="61" xfId="0" applyNumberFormat="1" applyFont="1" applyFill="1" applyBorder="1" applyAlignment="1" applyProtection="1">
      <alignment vertical="center"/>
    </xf>
    <xf numFmtId="175" fontId="34" fillId="20" borderId="67" xfId="0" applyNumberFormat="1" applyFont="1" applyFill="1" applyBorder="1" applyAlignment="1" applyProtection="1">
      <alignment vertical="center"/>
    </xf>
    <xf numFmtId="0" fontId="32" fillId="0" borderId="77" xfId="0" applyFont="1" applyBorder="1" applyAlignment="1">
      <alignment horizontal="left" vertical="center"/>
    </xf>
    <xf numFmtId="175" fontId="32" fillId="0" borderId="77" xfId="0" applyNumberFormat="1" applyFont="1" applyFill="1" applyBorder="1" applyAlignment="1">
      <alignment vertical="center"/>
    </xf>
    <xf numFmtId="175" fontId="71" fillId="0" borderId="77" xfId="0" applyNumberFormat="1" applyFont="1" applyFill="1" applyBorder="1" applyAlignment="1">
      <alignment vertical="center"/>
    </xf>
    <xf numFmtId="0" fontId="32" fillId="0" borderId="78" xfId="0" applyFont="1" applyFill="1" applyBorder="1" applyAlignment="1">
      <alignment vertical="center"/>
    </xf>
    <xf numFmtId="0" fontId="32" fillId="0" borderId="79" xfId="0" applyFont="1" applyBorder="1" applyAlignment="1">
      <alignment vertical="center"/>
    </xf>
    <xf numFmtId="0" fontId="32" fillId="0" borderId="80" xfId="0" applyFont="1" applyBorder="1" applyAlignment="1">
      <alignment vertical="center"/>
    </xf>
    <xf numFmtId="0" fontId="32" fillId="0" borderId="80" xfId="0" applyFont="1" applyBorder="1" applyAlignment="1">
      <alignment horizontal="left" vertical="center"/>
    </xf>
    <xf numFmtId="0" fontId="32" fillId="0" borderId="80" xfId="0" applyFont="1" applyFill="1" applyBorder="1" applyAlignment="1">
      <alignment vertical="center"/>
    </xf>
    <xf numFmtId="175" fontId="71" fillId="0" borderId="80" xfId="0" applyNumberFormat="1" applyFont="1" applyFill="1" applyBorder="1" applyAlignment="1">
      <alignment vertical="center"/>
    </xf>
    <xf numFmtId="175" fontId="32" fillId="0" borderId="81" xfId="0" applyNumberFormat="1" applyFont="1" applyFill="1" applyBorder="1" applyAlignment="1">
      <alignment vertical="center"/>
    </xf>
    <xf numFmtId="175" fontId="34" fillId="0" borderId="66" xfId="0" applyNumberFormat="1" applyFont="1" applyFill="1" applyBorder="1" applyAlignment="1" applyProtection="1">
      <alignment vertical="center"/>
      <protection locked="0"/>
    </xf>
    <xf numFmtId="175" fontId="34" fillId="19" borderId="66" xfId="0" applyNumberFormat="1" applyFont="1" applyFill="1" applyBorder="1" applyAlignment="1" applyProtection="1">
      <alignment vertical="center"/>
      <protection locked="0"/>
    </xf>
    <xf numFmtId="0" fontId="33" fillId="0" borderId="0" xfId="0" applyFont="1" applyBorder="1" applyAlignment="1">
      <alignment horizontal="left" vertical="center"/>
    </xf>
    <xf numFmtId="175" fontId="33" fillId="0" borderId="46" xfId="0" applyNumberFormat="1" applyFont="1" applyFill="1" applyBorder="1" applyAlignment="1">
      <alignment horizontal="center" vertical="center"/>
    </xf>
    <xf numFmtId="175" fontId="33" fillId="0" borderId="0" xfId="0" applyNumberFormat="1" applyFont="1" applyFill="1" applyBorder="1" applyAlignment="1">
      <alignment horizontal="center" vertical="center"/>
    </xf>
    <xf numFmtId="175" fontId="34" fillId="19" borderId="91" xfId="0" applyNumberFormat="1" applyFont="1" applyFill="1" applyBorder="1" applyAlignment="1" applyProtection="1">
      <alignment vertical="center"/>
      <protection locked="0"/>
    </xf>
    <xf numFmtId="0" fontId="34" fillId="19" borderId="92" xfId="0" applyFont="1" applyFill="1" applyBorder="1" applyAlignment="1" applyProtection="1">
      <alignment vertical="center"/>
      <protection locked="0"/>
    </xf>
    <xf numFmtId="175" fontId="34" fillId="0" borderId="46" xfId="0" applyNumberFormat="1" applyFont="1" applyFill="1" applyBorder="1" applyAlignment="1" applyProtection="1">
      <alignment vertical="center"/>
      <protection locked="0"/>
    </xf>
    <xf numFmtId="175" fontId="34" fillId="0" borderId="0" xfId="0" applyNumberFormat="1" applyFont="1" applyFill="1" applyBorder="1" applyAlignment="1" applyProtection="1">
      <alignment vertical="center"/>
      <protection locked="0"/>
    </xf>
    <xf numFmtId="0" fontId="32" fillId="0" borderId="0" xfId="0" applyFont="1" applyFill="1" applyBorder="1" applyAlignment="1">
      <alignment horizontal="left" vertical="center"/>
    </xf>
    <xf numFmtId="175" fontId="32" fillId="0" borderId="0" xfId="0" applyNumberFormat="1" applyFont="1" applyFill="1" applyBorder="1" applyAlignment="1" applyProtection="1">
      <alignment vertical="center"/>
      <protection locked="0"/>
    </xf>
    <xf numFmtId="175" fontId="32" fillId="0" borderId="46" xfId="0" applyNumberFormat="1" applyFont="1" applyFill="1" applyBorder="1" applyAlignment="1" applyProtection="1">
      <alignment vertical="center"/>
      <protection locked="0"/>
    </xf>
    <xf numFmtId="175" fontId="32" fillId="20" borderId="47" xfId="0" applyNumberFormat="1" applyFont="1" applyFill="1" applyBorder="1" applyAlignment="1" applyProtection="1">
      <alignment vertical="center"/>
      <protection locked="0"/>
    </xf>
    <xf numFmtId="175" fontId="33" fillId="0" borderId="46" xfId="0" applyNumberFormat="1" applyFont="1" applyFill="1" applyBorder="1" applyAlignment="1" applyProtection="1">
      <alignment vertical="center"/>
    </xf>
    <xf numFmtId="175" fontId="33" fillId="0" borderId="0" xfId="0" applyNumberFormat="1" applyFont="1" applyFill="1" applyBorder="1" applyAlignment="1" applyProtection="1">
      <alignment vertical="center"/>
    </xf>
    <xf numFmtId="0" fontId="72" fillId="0" borderId="0" xfId="0" applyFont="1" applyBorder="1"/>
    <xf numFmtId="0" fontId="59" fillId="0" borderId="0" xfId="0" applyFont="1" applyBorder="1"/>
    <xf numFmtId="0" fontId="73" fillId="0" borderId="0" xfId="0" applyFont="1" applyFill="1" applyBorder="1" applyAlignment="1">
      <alignment vertical="top" wrapText="1"/>
    </xf>
    <xf numFmtId="0" fontId="59" fillId="0" borderId="0" xfId="0" applyFont="1" applyFill="1" applyBorder="1" applyAlignment="1">
      <alignment vertical="top" wrapText="1"/>
    </xf>
    <xf numFmtId="0" fontId="46" fillId="0" borderId="0" xfId="0" applyFont="1" applyFill="1" applyBorder="1" applyAlignment="1">
      <alignment vertical="top" wrapText="1"/>
    </xf>
    <xf numFmtId="0" fontId="73" fillId="0" borderId="0" xfId="0" applyFont="1" applyBorder="1"/>
    <xf numFmtId="1" fontId="31" fillId="0" borderId="0" xfId="82" applyNumberFormat="1" applyFont="1" applyProtection="1"/>
    <xf numFmtId="1" fontId="31" fillId="0" borderId="0" xfId="82" applyNumberFormat="1" applyFont="1" applyAlignment="1" applyProtection="1">
      <alignment horizontal="center"/>
    </xf>
    <xf numFmtId="0" fontId="31" fillId="0" borderId="0" xfId="61" applyFont="1" applyProtection="1"/>
    <xf numFmtId="0" fontId="31" fillId="0" borderId="0" xfId="65" applyFont="1" applyFill="1" applyBorder="1" applyAlignment="1" applyProtection="1">
      <alignment horizontal="left" vertical="center"/>
    </xf>
    <xf numFmtId="0" fontId="31" fillId="0" borderId="79" xfId="65" applyFont="1" applyFill="1" applyBorder="1" applyAlignment="1" applyProtection="1">
      <alignment horizontal="left" vertical="center"/>
    </xf>
    <xf numFmtId="0" fontId="42" fillId="0" borderId="79" xfId="65" applyFont="1" applyFill="1" applyBorder="1" applyAlignment="1" applyProtection="1">
      <alignment horizontal="center" vertical="center"/>
    </xf>
    <xf numFmtId="0" fontId="42" fillId="0" borderId="21" xfId="65" applyFont="1" applyFill="1" applyBorder="1" applyAlignment="1" applyProtection="1">
      <alignment horizontal="center" vertical="center"/>
    </xf>
    <xf numFmtId="0" fontId="42" fillId="0" borderId="79" xfId="65" applyFont="1" applyFill="1" applyBorder="1" applyAlignment="1" applyProtection="1">
      <alignment horizontal="left" vertical="center"/>
    </xf>
    <xf numFmtId="1" fontId="31" fillId="0" borderId="21" xfId="61" applyNumberFormat="1" applyFont="1" applyFill="1" applyBorder="1" applyAlignment="1" applyProtection="1">
      <alignment horizontal="center"/>
    </xf>
    <xf numFmtId="0" fontId="31" fillId="0" borderId="25" xfId="65" applyFont="1" applyFill="1" applyBorder="1" applyAlignment="1" applyProtection="1">
      <alignment horizontal="left" vertical="center" indent="1"/>
    </xf>
    <xf numFmtId="0" fontId="0" fillId="0" borderId="25" xfId="0" applyBorder="1" applyAlignment="1">
      <alignment horizontal="center"/>
    </xf>
    <xf numFmtId="172" fontId="40" fillId="0" borderId="31" xfId="61" applyNumberFormat="1" applyFont="1" applyFill="1" applyBorder="1" applyProtection="1"/>
    <xf numFmtId="0" fontId="42" fillId="0" borderId="21" xfId="65" applyFont="1" applyFill="1" applyBorder="1" applyAlignment="1" applyProtection="1">
      <alignment horizontal="left" vertical="center"/>
    </xf>
    <xf numFmtId="0" fontId="0" fillId="0" borderId="25" xfId="0" applyBorder="1" applyAlignment="1"/>
    <xf numFmtId="0" fontId="33" fillId="0" borderId="45" xfId="0" applyFont="1" applyFill="1" applyBorder="1" applyAlignment="1" applyProtection="1"/>
    <xf numFmtId="0" fontId="42" fillId="0" borderId="0" xfId="0" applyFont="1"/>
    <xf numFmtId="0" fontId="74" fillId="0" borderId="0" xfId="0" applyFont="1" applyFill="1" applyBorder="1"/>
    <xf numFmtId="0" fontId="0" fillId="0" borderId="0" xfId="0" applyFill="1" applyBorder="1"/>
    <xf numFmtId="0" fontId="27" fillId="0" borderId="0" xfId="0" applyFont="1" applyFill="1" applyBorder="1"/>
    <xf numFmtId="0" fontId="72" fillId="0" borderId="0" xfId="0" applyFont="1" applyBorder="1" applyAlignment="1">
      <alignment horizontal="center"/>
    </xf>
    <xf numFmtId="0" fontId="50" fillId="0" borderId="0" xfId="0" applyFont="1" applyAlignment="1">
      <alignment wrapText="1"/>
    </xf>
    <xf numFmtId="0" fontId="1" fillId="0" borderId="0" xfId="0" applyFont="1" applyAlignment="1"/>
    <xf numFmtId="0" fontId="1" fillId="0" borderId="0" xfId="0" applyFont="1" applyAlignment="1">
      <alignment wrapText="1"/>
    </xf>
    <xf numFmtId="0" fontId="1" fillId="0" borderId="0" xfId="0" applyFont="1"/>
    <xf numFmtId="0" fontId="1" fillId="25" borderId="0" xfId="0" applyFont="1" applyFill="1" applyAlignment="1">
      <alignment horizontal="right"/>
    </xf>
    <xf numFmtId="0" fontId="30" fillId="22" borderId="0" xfId="0" applyFont="1" applyFill="1"/>
    <xf numFmtId="0" fontId="0" fillId="22" borderId="0" xfId="0" applyFill="1"/>
    <xf numFmtId="0" fontId="0" fillId="23" borderId="30" xfId="0" applyFill="1" applyBorder="1" applyAlignment="1">
      <alignment vertical="center" wrapText="1"/>
    </xf>
    <xf numFmtId="0" fontId="0" fillId="23" borderId="10" xfId="0" applyFill="1" applyBorder="1" applyAlignment="1">
      <alignment horizontal="center" vertical="center" wrapText="1"/>
    </xf>
    <xf numFmtId="0" fontId="0" fillId="23" borderId="12" xfId="0" applyFill="1" applyBorder="1" applyAlignment="1">
      <alignment horizontal="center" vertical="center" wrapText="1"/>
    </xf>
    <xf numFmtId="0" fontId="0" fillId="23" borderId="30" xfId="0" applyFill="1" applyBorder="1" applyAlignment="1">
      <alignment horizontal="center" vertical="center" wrapText="1"/>
    </xf>
    <xf numFmtId="0" fontId="3" fillId="23" borderId="30" xfId="0" applyFont="1" applyFill="1" applyBorder="1" applyAlignment="1">
      <alignment horizontal="center" vertical="center" wrapText="1"/>
    </xf>
    <xf numFmtId="0" fontId="0" fillId="0" borderId="54" xfId="0" applyBorder="1"/>
    <xf numFmtId="0" fontId="0" fillId="0" borderId="15" xfId="0" applyBorder="1"/>
    <xf numFmtId="0" fontId="75" fillId="0" borderId="54" xfId="0" applyFont="1" applyBorder="1" applyAlignment="1">
      <alignment horizontal="center" vertical="top" wrapText="1"/>
    </xf>
    <xf numFmtId="0" fontId="75" fillId="0" borderId="30" xfId="0" applyFont="1" applyFill="1" applyBorder="1" applyAlignment="1">
      <alignment horizontal="center" vertical="center" wrapText="1"/>
    </xf>
    <xf numFmtId="0" fontId="0" fillId="0" borderId="27" xfId="0" applyBorder="1"/>
    <xf numFmtId="0" fontId="0" fillId="0" borderId="16" xfId="0" applyBorder="1"/>
    <xf numFmtId="0" fontId="0" fillId="0" borderId="37" xfId="0" applyBorder="1"/>
    <xf numFmtId="0" fontId="0" fillId="0" borderId="30" xfId="0" applyBorder="1"/>
    <xf numFmtId="0" fontId="3" fillId="0" borderId="12" xfId="0" applyFont="1" applyBorder="1"/>
    <xf numFmtId="0" fontId="3" fillId="0" borderId="27" xfId="0" applyFont="1" applyBorder="1"/>
    <xf numFmtId="166" fontId="0" fillId="0" borderId="13" xfId="2" applyNumberFormat="1" applyFont="1" applyBorder="1"/>
    <xf numFmtId="9" fontId="3" fillId="32" borderId="54" xfId="1" applyFont="1" applyFill="1" applyBorder="1"/>
    <xf numFmtId="166" fontId="0" fillId="0" borderId="16" xfId="2" applyNumberFormat="1" applyFont="1" applyBorder="1"/>
    <xf numFmtId="9" fontId="3" fillId="32" borderId="27" xfId="1" applyFont="1" applyFill="1" applyBorder="1"/>
    <xf numFmtId="0" fontId="3" fillId="0" borderId="37" xfId="0" applyFont="1" applyBorder="1"/>
    <xf numFmtId="166" fontId="0" fillId="0" borderId="18" xfId="2" applyNumberFormat="1" applyFont="1" applyBorder="1"/>
    <xf numFmtId="9" fontId="3" fillId="32" borderId="37" xfId="1" applyFont="1" applyFill="1" applyBorder="1"/>
    <xf numFmtId="0" fontId="3" fillId="0" borderId="30" xfId="0" applyFont="1" applyFill="1" applyBorder="1"/>
    <xf numFmtId="166" fontId="0" fillId="0" borderId="10" xfId="2" applyNumberFormat="1" applyFont="1" applyBorder="1"/>
    <xf numFmtId="9" fontId="0" fillId="0" borderId="30" xfId="1" applyFont="1" applyBorder="1"/>
    <xf numFmtId="0" fontId="76" fillId="0" borderId="0" xfId="0" applyFont="1"/>
    <xf numFmtId="179" fontId="30" fillId="9" borderId="0" xfId="0" applyNumberFormat="1" applyFont="1" applyFill="1" applyAlignment="1">
      <alignment vertical="center" wrapText="1"/>
    </xf>
    <xf numFmtId="180" fontId="0" fillId="32" borderId="0" xfId="0" applyNumberFormat="1" applyFill="1" applyProtection="1">
      <protection locked="0"/>
    </xf>
    <xf numFmtId="0" fontId="77" fillId="0" borderId="0" xfId="0" applyFont="1"/>
    <xf numFmtId="0" fontId="27" fillId="27" borderId="0" xfId="0" applyFont="1" applyFill="1"/>
    <xf numFmtId="0" fontId="78" fillId="27" borderId="0" xfId="0" applyFont="1" applyFill="1"/>
    <xf numFmtId="180" fontId="0" fillId="32" borderId="0" xfId="0" applyNumberFormat="1" applyFill="1"/>
    <xf numFmtId="181" fontId="0" fillId="32" borderId="0" xfId="0" applyNumberFormat="1" applyFill="1"/>
    <xf numFmtId="0" fontId="0" fillId="0" borderId="0" xfId="0" applyAlignment="1"/>
    <xf numFmtId="182" fontId="0" fillId="0" borderId="0" xfId="0" applyNumberFormat="1" applyFill="1" applyAlignment="1"/>
    <xf numFmtId="3" fontId="0" fillId="0" borderId="0" xfId="0" applyNumberFormat="1" applyFill="1" applyAlignment="1"/>
    <xf numFmtId="0" fontId="0" fillId="0" borderId="0" xfId="0" applyFill="1" applyAlignment="1"/>
    <xf numFmtId="179" fontId="30" fillId="9" borderId="0" xfId="0" applyNumberFormat="1" applyFont="1" applyFill="1" applyAlignment="1">
      <alignment horizontal="right" vertical="center" wrapText="1"/>
    </xf>
    <xf numFmtId="49" fontId="79" fillId="0" borderId="0" xfId="0" applyNumberFormat="1" applyFont="1" applyAlignment="1">
      <alignment horizontal="left"/>
    </xf>
    <xf numFmtId="0" fontId="21" fillId="9" borderId="0" xfId="0" applyFont="1" applyFill="1" applyAlignment="1">
      <alignment horizontal="center" vertical="center" wrapText="1"/>
    </xf>
    <xf numFmtId="0" fontId="21" fillId="33" borderId="0" xfId="0" applyFont="1" applyFill="1" applyBorder="1" applyAlignment="1">
      <alignment horizontal="center" vertical="center"/>
    </xf>
    <xf numFmtId="0" fontId="0" fillId="34" borderId="0" xfId="0" applyFill="1" applyBorder="1"/>
    <xf numFmtId="2" fontId="0" fillId="33" borderId="17" xfId="0" applyNumberFormat="1" applyFill="1" applyBorder="1"/>
    <xf numFmtId="2" fontId="0" fillId="0" borderId="54" xfId="0" applyNumberFormat="1" applyBorder="1"/>
    <xf numFmtId="9" fontId="0" fillId="0" borderId="15" xfId="1" applyFont="1" applyBorder="1"/>
    <xf numFmtId="2" fontId="0" fillId="33" borderId="20" xfId="0" applyNumberFormat="1" applyFill="1" applyBorder="1"/>
    <xf numFmtId="0" fontId="0" fillId="32" borderId="54" xfId="0" applyFill="1" applyBorder="1"/>
    <xf numFmtId="2" fontId="0" fillId="0" borderId="27" xfId="0" applyNumberFormat="1" applyBorder="1"/>
    <xf numFmtId="9" fontId="0" fillId="0" borderId="17" xfId="1" applyFont="1" applyBorder="1"/>
    <xf numFmtId="0" fontId="0" fillId="32" borderId="27" xfId="0" applyFill="1" applyBorder="1"/>
    <xf numFmtId="0" fontId="0" fillId="0" borderId="27" xfId="0" applyNumberFormat="1" applyBorder="1"/>
    <xf numFmtId="0" fontId="3" fillId="0" borderId="0" xfId="0" applyFont="1" applyBorder="1"/>
    <xf numFmtId="2" fontId="0" fillId="0" borderId="0" xfId="0" applyNumberFormat="1" applyBorder="1"/>
    <xf numFmtId="9" fontId="0" fillId="0" borderId="0" xfId="1" applyFont="1" applyBorder="1"/>
    <xf numFmtId="0" fontId="0" fillId="0" borderId="37" xfId="0" applyNumberFormat="1" applyBorder="1"/>
    <xf numFmtId="9" fontId="0" fillId="0" borderId="20" xfId="1" applyFont="1" applyBorder="1"/>
    <xf numFmtId="0" fontId="0" fillId="32" borderId="37" xfId="0" applyFill="1" applyBorder="1"/>
    <xf numFmtId="9" fontId="0" fillId="0" borderId="0" xfId="1" applyFont="1" applyFill="1" applyBorder="1"/>
    <xf numFmtId="0" fontId="0" fillId="27" borderId="0" xfId="0" applyFill="1"/>
    <xf numFmtId="2" fontId="0" fillId="0" borderId="37" xfId="0" applyNumberFormat="1" applyBorder="1"/>
    <xf numFmtId="0" fontId="80" fillId="0" borderId="0" xfId="0" applyFont="1" applyAlignment="1">
      <alignment horizontal="left" vertical="top" wrapText="1"/>
    </xf>
    <xf numFmtId="0" fontId="80" fillId="0" borderId="0" xfId="0" applyFont="1" applyAlignment="1">
      <alignment vertical="top" wrapText="1"/>
    </xf>
    <xf numFmtId="43" fontId="0" fillId="0" borderId="27" xfId="2" applyFont="1" applyBorder="1"/>
    <xf numFmtId="10" fontId="0" fillId="0" borderId="0" xfId="1" applyNumberFormat="1" applyFont="1"/>
    <xf numFmtId="0" fontId="80" fillId="0" borderId="0" xfId="0" applyFont="1"/>
    <xf numFmtId="164" fontId="0" fillId="0" borderId="0" xfId="1" applyNumberFormat="1" applyFont="1"/>
    <xf numFmtId="0" fontId="81" fillId="0" borderId="0" xfId="0" applyFont="1" applyAlignment="1">
      <alignment vertical="center"/>
    </xf>
    <xf numFmtId="0" fontId="0" fillId="0" borderId="13" xfId="0" applyBorder="1" applyAlignment="1">
      <alignment vertical="center"/>
    </xf>
    <xf numFmtId="2" fontId="0" fillId="0" borderId="54" xfId="0" applyNumberFormat="1" applyBorder="1" applyAlignment="1">
      <alignment vertical="center"/>
    </xf>
    <xf numFmtId="0" fontId="3" fillId="0" borderId="16" xfId="0" applyFont="1" applyBorder="1" applyAlignment="1">
      <alignment vertical="center"/>
    </xf>
    <xf numFmtId="2" fontId="3" fillId="0" borderId="27" xfId="0" quotePrefix="1" applyNumberFormat="1" applyFont="1" applyBorder="1" applyAlignment="1">
      <alignment vertical="center"/>
    </xf>
    <xf numFmtId="0" fontId="3" fillId="0" borderId="18" xfId="0" applyFont="1" applyBorder="1" applyAlignment="1">
      <alignment vertical="center"/>
    </xf>
    <xf numFmtId="2" fontId="3" fillId="0" borderId="37" xfId="0" quotePrefix="1" applyNumberFormat="1" applyFont="1" applyBorder="1" applyAlignment="1">
      <alignment vertical="center"/>
    </xf>
    <xf numFmtId="2" fontId="0" fillId="0" borderId="54" xfId="0" applyNumberFormat="1" applyFill="1" applyBorder="1" applyAlignment="1">
      <alignment vertical="center"/>
    </xf>
    <xf numFmtId="2" fontId="3" fillId="0" borderId="27" xfId="0" quotePrefix="1" applyNumberFormat="1" applyFont="1" applyFill="1" applyBorder="1" applyAlignment="1">
      <alignment vertical="center"/>
    </xf>
    <xf numFmtId="2" fontId="3" fillId="0" borderId="37" xfId="0" quotePrefix="1" applyNumberFormat="1" applyFont="1" applyFill="1" applyBorder="1" applyAlignment="1">
      <alignment vertical="center"/>
    </xf>
    <xf numFmtId="0" fontId="0" fillId="0" borderId="0" xfId="0" applyFill="1" applyAlignment="1">
      <alignment vertical="center"/>
    </xf>
    <xf numFmtId="0" fontId="0" fillId="0" borderId="0" xfId="0" applyAlignment="1">
      <alignment vertical="center" wrapText="1"/>
    </xf>
    <xf numFmtId="9" fontId="0" fillId="0" borderId="0" xfId="1" applyFont="1" applyFill="1" applyAlignment="1">
      <alignment vertical="center"/>
    </xf>
    <xf numFmtId="0" fontId="80" fillId="0" borderId="0" xfId="0" applyFont="1" applyFill="1" applyBorder="1"/>
    <xf numFmtId="0" fontId="80" fillId="0" borderId="0" xfId="0" applyFont="1" applyFill="1" applyBorder="1" applyAlignment="1">
      <alignment vertical="top" wrapText="1"/>
    </xf>
    <xf numFmtId="0" fontId="80" fillId="0" borderId="0" xfId="0" applyFont="1" applyFill="1" applyBorder="1" applyAlignment="1">
      <alignment horizontal="center" vertical="top" wrapText="1"/>
    </xf>
    <xf numFmtId="0" fontId="0" fillId="0" borderId="0" xfId="0" applyBorder="1" applyAlignment="1">
      <alignment vertical="center"/>
    </xf>
    <xf numFmtId="0" fontId="0" fillId="0" borderId="17"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3" fillId="0" borderId="0"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top" wrapText="1"/>
    </xf>
    <xf numFmtId="0" fontId="0" fillId="0" borderId="30" xfId="0" applyBorder="1" applyAlignment="1">
      <alignment horizontal="center" vertical="top" wrapText="1"/>
    </xf>
    <xf numFmtId="170" fontId="32" fillId="0" borderId="54" xfId="67" applyNumberFormat="1" applyFont="1" applyBorder="1" applyAlignment="1" applyProtection="1">
      <alignment horizontal="center" vertical="center" wrapText="1"/>
    </xf>
    <xf numFmtId="170" fontId="32" fillId="0" borderId="0" xfId="67" applyNumberFormat="1" applyFont="1" applyBorder="1" applyAlignment="1" applyProtection="1">
      <alignment horizontal="center" vertical="center" wrapText="1"/>
    </xf>
    <xf numFmtId="0" fontId="0" fillId="0" borderId="0" xfId="0"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3" fillId="0" borderId="16" xfId="0" applyFont="1" applyBorder="1" applyAlignment="1">
      <alignment horizontal="center" vertical="center" wrapText="1"/>
    </xf>
    <xf numFmtId="0" fontId="0" fillId="0" borderId="54"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vertical="top" wrapText="1"/>
    </xf>
    <xf numFmtId="0" fontId="36" fillId="0" borderId="0" xfId="0" applyFont="1" applyBorder="1" applyAlignment="1">
      <alignment vertical="top" wrapText="1"/>
    </xf>
    <xf numFmtId="0" fontId="42" fillId="0" borderId="0" xfId="0" applyFont="1" applyFill="1" applyBorder="1" applyAlignment="1">
      <alignment horizontal="center" vertical="top" wrapText="1"/>
    </xf>
    <xf numFmtId="0" fontId="0" fillId="0" borderId="19" xfId="0" applyBorder="1" applyAlignment="1">
      <alignment vertical="center" wrapText="1"/>
    </xf>
    <xf numFmtId="0" fontId="0" fillId="0" borderId="0" xfId="0" applyBorder="1" applyAlignment="1">
      <alignment vertical="center" wrapText="1"/>
    </xf>
    <xf numFmtId="0" fontId="0" fillId="0" borderId="30" xfId="0" applyBorder="1" applyAlignment="1">
      <alignment horizontal="center" vertical="center" wrapText="1"/>
    </xf>
    <xf numFmtId="170" fontId="32" fillId="0" borderId="37" xfId="67" applyNumberFormat="1" applyFont="1" applyBorder="1" applyAlignment="1" applyProtection="1">
      <alignment horizontal="center" vertical="center" wrapText="1"/>
    </xf>
    <xf numFmtId="170" fontId="0" fillId="0" borderId="19" xfId="0" applyNumberFormat="1" applyBorder="1" applyAlignment="1">
      <alignment horizontal="center" vertical="center"/>
    </xf>
    <xf numFmtId="0" fontId="3" fillId="0" borderId="10" xfId="0" applyFont="1" applyBorder="1" applyAlignment="1">
      <alignment vertical="center" wrapText="1"/>
    </xf>
    <xf numFmtId="0" fontId="0" fillId="0" borderId="12" xfId="0" applyBorder="1" applyAlignment="1">
      <alignment vertical="center" wrapText="1"/>
    </xf>
    <xf numFmtId="0" fontId="36" fillId="0" borderId="0" xfId="0" applyFont="1" applyBorder="1" applyAlignment="1">
      <alignment vertical="center" wrapText="1"/>
    </xf>
    <xf numFmtId="0" fontId="42" fillId="0" borderId="0" xfId="0" applyFont="1" applyFill="1" applyBorder="1" applyAlignment="1">
      <alignment horizontal="center" vertical="center" wrapText="1"/>
    </xf>
    <xf numFmtId="170" fontId="32" fillId="0" borderId="54" xfId="67" applyNumberFormat="1" applyFont="1" applyBorder="1" applyAlignment="1" applyProtection="1">
      <alignment horizontal="left" vertical="center" wrapText="1"/>
    </xf>
    <xf numFmtId="9" fontId="32" fillId="0" borderId="54" xfId="1" applyFont="1" applyBorder="1" applyAlignment="1" applyProtection="1">
      <alignment horizontal="center" vertical="center" wrapText="1"/>
    </xf>
    <xf numFmtId="9" fontId="32" fillId="0" borderId="0" xfId="1" applyFont="1" applyBorder="1" applyAlignment="1" applyProtection="1">
      <alignment horizontal="center" vertical="center" wrapText="1"/>
    </xf>
    <xf numFmtId="9" fontId="0" fillId="0" borderId="0" xfId="1" applyFont="1" applyBorder="1" applyAlignment="1"/>
    <xf numFmtId="170" fontId="0" fillId="0" borderId="13" xfId="0" applyNumberFormat="1" applyBorder="1" applyAlignment="1"/>
    <xf numFmtId="170" fontId="0" fillId="0" borderId="54" xfId="0" applyNumberFormat="1" applyBorder="1" applyAlignment="1"/>
    <xf numFmtId="170" fontId="0" fillId="0" borderId="0" xfId="0" applyNumberFormat="1" applyBorder="1" applyAlignment="1"/>
    <xf numFmtId="170" fontId="0" fillId="0" borderId="16" xfId="0" applyNumberFormat="1" applyBorder="1" applyAlignment="1"/>
    <xf numFmtId="170" fontId="0" fillId="12" borderId="27" xfId="0" applyNumberFormat="1" applyFill="1" applyBorder="1" applyAlignment="1"/>
    <xf numFmtId="170" fontId="0" fillId="0" borderId="27" xfId="0" applyNumberFormat="1" applyBorder="1" applyAlignment="1"/>
    <xf numFmtId="171" fontId="0" fillId="0" borderId="16" xfId="0" applyNumberFormat="1" applyBorder="1" applyAlignment="1"/>
    <xf numFmtId="171" fontId="0" fillId="0" borderId="27" xfId="0" applyNumberFormat="1" applyBorder="1" applyAlignment="1"/>
    <xf numFmtId="171" fontId="0" fillId="0" borderId="0" xfId="0" applyNumberFormat="1" applyBorder="1" applyAlignment="1"/>
    <xf numFmtId="164" fontId="32" fillId="0" borderId="16" xfId="1" applyNumberFormat="1" applyFont="1" applyBorder="1" applyAlignment="1" applyProtection="1">
      <alignment horizontal="center" vertical="center" wrapText="1"/>
    </xf>
    <xf numFmtId="170" fontId="32" fillId="0" borderId="27" xfId="67" applyNumberFormat="1" applyFont="1" applyBorder="1" applyAlignment="1" applyProtection="1">
      <alignment horizontal="center" vertical="center" wrapText="1"/>
    </xf>
    <xf numFmtId="170" fontId="32" fillId="0" borderId="17" xfId="67" applyNumberFormat="1" applyFont="1" applyBorder="1" applyAlignment="1" applyProtection="1">
      <alignment horizontal="center" vertical="center" wrapText="1"/>
    </xf>
    <xf numFmtId="171" fontId="0" fillId="0" borderId="13" xfId="0" applyNumberFormat="1" applyBorder="1" applyAlignment="1"/>
    <xf numFmtId="171" fontId="0" fillId="0" borderId="54" xfId="0" applyNumberFormat="1" applyBorder="1" applyAlignment="1"/>
    <xf numFmtId="0" fontId="0" fillId="0" borderId="0" xfId="0" applyFill="1" applyBorder="1" applyAlignment="1"/>
    <xf numFmtId="170" fontId="32" fillId="0" borderId="27" xfId="67" applyNumberFormat="1" applyFont="1" applyBorder="1" applyAlignment="1" applyProtection="1">
      <alignment horizontal="left" vertical="center" wrapText="1"/>
    </xf>
    <xf numFmtId="170" fontId="0" fillId="0" borderId="0" xfId="0" applyNumberFormat="1" applyBorder="1" applyAlignment="1">
      <alignment horizontal="center" vertical="center"/>
    </xf>
    <xf numFmtId="9" fontId="32" fillId="0" borderId="27" xfId="1" applyFont="1" applyBorder="1" applyAlignment="1" applyProtection="1">
      <alignment horizontal="center" vertical="center" wrapText="1"/>
    </xf>
    <xf numFmtId="170" fontId="32" fillId="0" borderId="27" xfId="67" applyNumberFormat="1" applyFont="1" applyFill="1" applyBorder="1" applyAlignment="1" applyProtection="1">
      <alignment horizontal="center" vertical="center" wrapText="1"/>
    </xf>
    <xf numFmtId="170" fontId="0" fillId="0" borderId="18" xfId="0" applyNumberFormat="1" applyBorder="1" applyAlignment="1"/>
    <xf numFmtId="170" fontId="0" fillId="0" borderId="37" xfId="0" applyNumberFormat="1" applyBorder="1" applyAlignment="1"/>
    <xf numFmtId="171" fontId="0" fillId="0" borderId="18" xfId="0" applyNumberFormat="1" applyBorder="1" applyAlignment="1"/>
    <xf numFmtId="171" fontId="0" fillId="0" borderId="37" xfId="0" applyNumberFormat="1" applyBorder="1" applyAlignment="1"/>
    <xf numFmtId="170" fontId="32" fillId="0" borderId="37" xfId="67" applyNumberFormat="1" applyFont="1" applyBorder="1" applyAlignment="1" applyProtection="1">
      <alignment horizontal="left" vertical="center" wrapText="1"/>
    </xf>
    <xf numFmtId="170" fontId="32" fillId="0" borderId="37" xfId="67" applyNumberFormat="1" applyFont="1" applyFill="1" applyBorder="1" applyAlignment="1" applyProtection="1">
      <alignment horizontal="center" vertical="center" wrapText="1"/>
    </xf>
    <xf numFmtId="9" fontId="32" fillId="0" borderId="37" xfId="1" applyFont="1" applyBorder="1" applyAlignment="1" applyProtection="1">
      <alignment horizontal="center" vertical="center" wrapText="1"/>
    </xf>
    <xf numFmtId="164" fontId="32" fillId="0" borderId="18" xfId="1" applyNumberFormat="1" applyFont="1" applyBorder="1" applyAlignment="1" applyProtection="1">
      <alignment horizontal="center" vertical="center" wrapText="1"/>
    </xf>
    <xf numFmtId="170" fontId="32" fillId="0" borderId="20" xfId="67" applyNumberFormat="1" applyFont="1" applyBorder="1" applyAlignment="1" applyProtection="1">
      <alignment horizontal="center" vertical="center" wrapText="1"/>
    </xf>
    <xf numFmtId="0" fontId="32" fillId="0" borderId="27" xfId="67" applyFont="1" applyBorder="1" applyAlignment="1">
      <alignment horizontal="left" vertical="center" wrapText="1"/>
    </xf>
    <xf numFmtId="170" fontId="32" fillId="0" borderId="27" xfId="67" applyNumberFormat="1" applyFont="1" applyFill="1" applyBorder="1" applyAlignment="1" applyProtection="1">
      <alignment horizontal="left" vertical="center" wrapText="1"/>
    </xf>
    <xf numFmtId="170" fontId="32" fillId="0" borderId="0" xfId="67" applyNumberFormat="1" applyFont="1" applyFill="1" applyBorder="1" applyAlignment="1" applyProtection="1">
      <alignment horizontal="center" vertical="center" wrapText="1"/>
    </xf>
    <xf numFmtId="170" fontId="0" fillId="0" borderId="0" xfId="0" applyNumberFormat="1" applyFill="1" applyBorder="1" applyAlignment="1"/>
    <xf numFmtId="171" fontId="0" fillId="0" borderId="0" xfId="0" applyNumberFormat="1" applyFill="1" applyBorder="1" applyAlignment="1"/>
    <xf numFmtId="164" fontId="32" fillId="0" borderId="13" xfId="1" applyNumberFormat="1" applyFont="1" applyFill="1" applyBorder="1" applyAlignment="1" applyProtection="1">
      <alignment horizontal="center" vertical="center" wrapText="1"/>
    </xf>
    <xf numFmtId="170" fontId="32" fillId="0" borderId="15" xfId="67" applyNumberFormat="1" applyFont="1" applyBorder="1" applyAlignment="1" applyProtection="1">
      <alignment horizontal="center" vertical="center" wrapText="1"/>
    </xf>
    <xf numFmtId="164" fontId="32" fillId="0" borderId="16" xfId="1" applyNumberFormat="1" applyFont="1" applyFill="1" applyBorder="1" applyAlignment="1" applyProtection="1">
      <alignment horizontal="center" vertical="center" wrapText="1"/>
    </xf>
    <xf numFmtId="0" fontId="32" fillId="0" borderId="37" xfId="67" applyFont="1" applyBorder="1" applyAlignment="1">
      <alignment horizontal="left" vertical="center" wrapText="1"/>
    </xf>
    <xf numFmtId="164" fontId="32" fillId="0" borderId="18" xfId="1" applyNumberFormat="1" applyFont="1" applyFill="1" applyBorder="1" applyAlignment="1" applyProtection="1">
      <alignment horizontal="center" vertical="center" wrapText="1"/>
    </xf>
    <xf numFmtId="0" fontId="32" fillId="0" borderId="54" xfId="67" applyFont="1" applyBorder="1" applyAlignment="1">
      <alignment horizontal="left" vertical="center" wrapText="1"/>
    </xf>
    <xf numFmtId="0" fontId="32" fillId="0" borderId="13" xfId="67" applyFont="1" applyBorder="1" applyAlignment="1">
      <alignment horizontal="center" vertical="center" wrapText="1"/>
    </xf>
    <xf numFmtId="170" fontId="32" fillId="0" borderId="54" xfId="67" applyNumberFormat="1" applyFont="1" applyBorder="1" applyAlignment="1">
      <alignment horizontal="center" vertical="center" wrapText="1"/>
    </xf>
    <xf numFmtId="170" fontId="32" fillId="0" borderId="27" xfId="67" applyNumberFormat="1" applyFont="1" applyBorder="1" applyAlignment="1">
      <alignment horizontal="center" vertical="center" wrapText="1"/>
    </xf>
    <xf numFmtId="164" fontId="32" fillId="0" borderId="16" xfId="1" applyNumberFormat="1" applyFont="1" applyBorder="1" applyAlignment="1">
      <alignment horizontal="center" vertical="center" wrapText="1"/>
    </xf>
    <xf numFmtId="0" fontId="32" fillId="0" borderId="16" xfId="67" applyFont="1" applyBorder="1" applyAlignment="1">
      <alignment horizontal="center" vertical="center" wrapText="1"/>
    </xf>
    <xf numFmtId="170" fontId="32" fillId="0" borderId="37" xfId="67" applyNumberFormat="1" applyFont="1" applyBorder="1" applyAlignment="1">
      <alignment horizontal="center" vertical="center" wrapText="1"/>
    </xf>
    <xf numFmtId="0" fontId="33" fillId="0" borderId="30" xfId="67" applyFont="1" applyBorder="1" applyAlignment="1">
      <alignment horizontal="left" vertical="center" wrapText="1"/>
    </xf>
    <xf numFmtId="0" fontId="33" fillId="0" borderId="54" xfId="67" applyFont="1" applyBorder="1" applyAlignment="1">
      <alignment horizontal="left" vertical="center" wrapText="1"/>
    </xf>
    <xf numFmtId="170" fontId="33" fillId="0" borderId="30" xfId="67" applyNumberFormat="1" applyFont="1" applyBorder="1" applyAlignment="1">
      <alignment horizontal="center" vertical="center" wrapText="1"/>
    </xf>
    <xf numFmtId="170" fontId="33" fillId="0" borderId="0" xfId="67" applyNumberFormat="1" applyFont="1" applyBorder="1" applyAlignment="1">
      <alignment horizontal="center" vertical="center" wrapText="1"/>
    </xf>
    <xf numFmtId="9" fontId="30" fillId="0" borderId="54" xfId="1" applyFont="1" applyBorder="1" applyAlignment="1">
      <alignment vertical="center"/>
    </xf>
    <xf numFmtId="170" fontId="33" fillId="0" borderId="54" xfId="67" applyNumberFormat="1" applyFont="1" applyBorder="1" applyAlignment="1">
      <alignment horizontal="center" vertical="center" wrapText="1"/>
    </xf>
    <xf numFmtId="170" fontId="33" fillId="0" borderId="27" xfId="67" applyNumberFormat="1" applyFont="1" applyBorder="1" applyAlignment="1">
      <alignment horizontal="center" vertical="center" wrapText="1"/>
    </xf>
    <xf numFmtId="0" fontId="30" fillId="0" borderId="12" xfId="0" applyFont="1" applyBorder="1" applyAlignment="1">
      <alignment vertical="center"/>
    </xf>
    <xf numFmtId="170" fontId="0" fillId="0" borderId="27" xfId="0" applyNumberFormat="1" applyBorder="1" applyAlignment="1">
      <alignment vertical="center"/>
    </xf>
    <xf numFmtId="170" fontId="0" fillId="0" borderId="0" xfId="0" applyNumberFormat="1" applyBorder="1" applyAlignment="1">
      <alignment vertical="center"/>
    </xf>
    <xf numFmtId="0" fontId="30" fillId="0" borderId="30" xfId="0" applyFont="1" applyBorder="1" applyAlignment="1">
      <alignment vertical="center"/>
    </xf>
    <xf numFmtId="170" fontId="33" fillId="0" borderId="13" xfId="67" applyNumberFormat="1" applyFont="1" applyBorder="1" applyAlignment="1">
      <alignment horizontal="center" vertical="center" wrapText="1"/>
    </xf>
    <xf numFmtId="170" fontId="33" fillId="0" borderId="14" xfId="67" applyNumberFormat="1" applyFont="1" applyBorder="1" applyAlignment="1" applyProtection="1">
      <alignment horizontal="center" vertical="center" wrapText="1"/>
    </xf>
    <xf numFmtId="170" fontId="33" fillId="0" borderId="27" xfId="67" applyNumberFormat="1" applyFont="1" applyBorder="1" applyAlignment="1" applyProtection="1">
      <alignment horizontal="center" vertical="center" wrapText="1"/>
    </xf>
    <xf numFmtId="2" fontId="30" fillId="0" borderId="0" xfId="0" applyNumberFormat="1" applyFont="1" applyBorder="1" applyAlignment="1">
      <alignment horizontal="center"/>
    </xf>
    <xf numFmtId="2" fontId="30" fillId="0" borderId="30" xfId="0" applyNumberFormat="1" applyFont="1" applyBorder="1" applyAlignment="1">
      <alignment vertical="center"/>
    </xf>
    <xf numFmtId="0" fontId="0" fillId="0" borderId="16" xfId="0" applyBorder="1" applyAlignment="1">
      <alignment vertical="center"/>
    </xf>
    <xf numFmtId="0" fontId="33" fillId="0" borderId="14" xfId="67" applyFont="1" applyBorder="1" applyAlignment="1">
      <alignment horizontal="left" vertical="center"/>
    </xf>
    <xf numFmtId="0" fontId="33" fillId="0" borderId="0" xfId="67" applyFont="1" applyBorder="1" applyAlignment="1">
      <alignment horizontal="left" vertical="center"/>
    </xf>
    <xf numFmtId="170" fontId="33" fillId="0" borderId="0" xfId="67" applyNumberFormat="1" applyFont="1" applyBorder="1" applyAlignment="1">
      <alignment horizontal="center" vertical="center"/>
    </xf>
    <xf numFmtId="170" fontId="32" fillId="0" borderId="0" xfId="67" applyNumberFormat="1" applyFont="1" applyBorder="1" applyAlignment="1" applyProtection="1">
      <alignment horizontal="center" vertical="center"/>
    </xf>
    <xf numFmtId="9" fontId="0" fillId="0" borderId="14" xfId="1" applyFont="1" applyBorder="1" applyAlignment="1">
      <alignment vertical="center"/>
    </xf>
    <xf numFmtId="170" fontId="0" fillId="0" borderId="14" xfId="0" applyNumberFormat="1" applyBorder="1" applyAlignment="1">
      <alignment vertical="center"/>
    </xf>
    <xf numFmtId="170" fontId="30" fillId="0" borderId="30" xfId="0" applyNumberFormat="1" applyFont="1" applyBorder="1" applyAlignment="1">
      <alignment vertical="center"/>
    </xf>
    <xf numFmtId="171" fontId="0" fillId="0" borderId="0" xfId="0" applyNumberFormat="1" applyBorder="1" applyAlignment="1">
      <alignment vertical="center"/>
    </xf>
    <xf numFmtId="170" fontId="33" fillId="0" borderId="14" xfId="67" applyNumberFormat="1" applyFont="1" applyBorder="1" applyAlignment="1">
      <alignment horizontal="center" vertical="center"/>
    </xf>
    <xf numFmtId="2" fontId="30" fillId="0" borderId="10" xfId="0" applyNumberFormat="1" applyFont="1" applyBorder="1" applyAlignment="1">
      <alignment vertical="center"/>
    </xf>
    <xf numFmtId="2" fontId="30" fillId="0" borderId="0" xfId="0" applyNumberFormat="1" applyFont="1" applyBorder="1" applyAlignment="1">
      <alignment vertical="center"/>
    </xf>
    <xf numFmtId="2" fontId="30" fillId="0" borderId="30" xfId="0" applyNumberFormat="1" applyFont="1" applyBorder="1" applyAlignment="1">
      <alignment horizontal="right" vertical="center"/>
    </xf>
    <xf numFmtId="0" fontId="0" fillId="0" borderId="16" xfId="0" applyBorder="1" applyAlignment="1">
      <alignment wrapText="1"/>
    </xf>
    <xf numFmtId="0" fontId="33" fillId="0" borderId="0" xfId="67" applyFont="1" applyBorder="1" applyAlignment="1">
      <alignment horizontal="left" vertical="center" wrapText="1"/>
    </xf>
    <xf numFmtId="0" fontId="30" fillId="0" borderId="30" xfId="0" applyFont="1" applyBorder="1" applyAlignment="1"/>
    <xf numFmtId="9" fontId="30" fillId="0" borderId="30" xfId="1" applyFont="1" applyBorder="1" applyAlignment="1"/>
    <xf numFmtId="9" fontId="30" fillId="12" borderId="30" xfId="1" applyFont="1" applyFill="1" applyBorder="1" applyAlignment="1">
      <alignment vertical="center"/>
    </xf>
    <xf numFmtId="9" fontId="30" fillId="12" borderId="10" xfId="1" applyFont="1" applyFill="1" applyBorder="1" applyAlignment="1">
      <alignment vertical="center"/>
    </xf>
    <xf numFmtId="9" fontId="30" fillId="0" borderId="30" xfId="1" applyFont="1" applyBorder="1" applyAlignment="1">
      <alignment vertical="center"/>
    </xf>
    <xf numFmtId="9" fontId="30" fillId="0" borderId="0" xfId="1" applyFont="1" applyBorder="1" applyAlignment="1">
      <alignment vertical="center"/>
    </xf>
    <xf numFmtId="170" fontId="45" fillId="0" borderId="0" xfId="67" applyNumberFormat="1" applyFont="1" applyFill="1" applyBorder="1" applyAlignment="1" applyProtection="1">
      <alignment horizontal="left" vertical="center" wrapText="1"/>
    </xf>
    <xf numFmtId="0" fontId="80" fillId="0" borderId="0" xfId="0" applyFont="1" applyFill="1" applyBorder="1" applyAlignment="1">
      <alignment horizontal="center"/>
    </xf>
    <xf numFmtId="0" fontId="80" fillId="0" borderId="0" xfId="0" applyFont="1" applyFill="1" applyBorder="1" applyAlignment="1"/>
    <xf numFmtId="170" fontId="80" fillId="0" borderId="0" xfId="0" applyNumberFormat="1" applyFont="1" applyFill="1" applyBorder="1" applyAlignment="1"/>
    <xf numFmtId="170" fontId="45" fillId="0" borderId="0" xfId="67" applyNumberFormat="1" applyFont="1" applyFill="1" applyBorder="1" applyAlignment="1" applyProtection="1">
      <alignment horizontal="center" vertical="center" wrapText="1"/>
    </xf>
    <xf numFmtId="170" fontId="32" fillId="0" borderId="0" xfId="67" applyNumberFormat="1" applyFont="1" applyBorder="1" applyAlignment="1">
      <alignment horizontal="center" vertical="center" wrapText="1"/>
    </xf>
    <xf numFmtId="9" fontId="80" fillId="0" borderId="0" xfId="1" applyFont="1" applyFill="1" applyBorder="1" applyAlignment="1"/>
    <xf numFmtId="0" fontId="30" fillId="0" borderId="14" xfId="0" applyFont="1" applyFill="1" applyBorder="1" applyAlignment="1"/>
    <xf numFmtId="170" fontId="30" fillId="0" borderId="14" xfId="0" applyNumberFormat="1" applyFont="1" applyFill="1" applyBorder="1" applyAlignment="1"/>
    <xf numFmtId="171" fontId="80" fillId="0" borderId="0" xfId="0" applyNumberFormat="1" applyFont="1" applyFill="1" applyBorder="1" applyAlignment="1"/>
    <xf numFmtId="164" fontId="45" fillId="0" borderId="0" xfId="1" applyNumberFormat="1" applyFont="1" applyFill="1" applyBorder="1" applyAlignment="1" applyProtection="1">
      <alignment horizontal="center" vertical="center" wrapText="1"/>
    </xf>
    <xf numFmtId="1" fontId="80" fillId="0" borderId="0" xfId="0" applyNumberFormat="1" applyFont="1" applyFill="1" applyBorder="1" applyAlignment="1">
      <alignment horizontal="center"/>
    </xf>
    <xf numFmtId="0" fontId="30" fillId="0" borderId="0" xfId="0" applyFont="1" applyFill="1" applyBorder="1" applyAlignment="1"/>
    <xf numFmtId="170" fontId="30" fillId="0" borderId="0" xfId="0" applyNumberFormat="1" applyFont="1" applyFill="1" applyBorder="1" applyAlignment="1"/>
    <xf numFmtId="0" fontId="30" fillId="0" borderId="54" xfId="0" applyFont="1" applyFill="1" applyBorder="1" applyAlignment="1"/>
    <xf numFmtId="170" fontId="30" fillId="0" borderId="15" xfId="0" applyNumberFormat="1" applyFont="1" applyFill="1" applyBorder="1" applyAlignment="1"/>
    <xf numFmtId="0" fontId="30" fillId="0" borderId="27" xfId="0" applyFont="1" applyFill="1" applyBorder="1" applyAlignment="1"/>
    <xf numFmtId="170" fontId="30" fillId="0" borderId="17" xfId="0" applyNumberFormat="1" applyFont="1" applyFill="1" applyBorder="1" applyAlignment="1"/>
    <xf numFmtId="9" fontId="30" fillId="0" borderId="17" xfId="1" applyFont="1" applyFill="1" applyBorder="1" applyAlignment="1"/>
    <xf numFmtId="9" fontId="30" fillId="0" borderId="27" xfId="1" applyFont="1" applyFill="1" applyBorder="1" applyAlignment="1"/>
    <xf numFmtId="9" fontId="30" fillId="0" borderId="27" xfId="1" applyNumberFormat="1" applyFont="1" applyFill="1" applyBorder="1" applyAlignment="1"/>
    <xf numFmtId="9" fontId="80" fillId="0" borderId="0" xfId="0" applyNumberFormat="1" applyFont="1" applyFill="1" applyBorder="1" applyAlignment="1"/>
    <xf numFmtId="0" fontId="30" fillId="0" borderId="37" xfId="0" applyFont="1" applyFill="1" applyBorder="1" applyAlignment="1"/>
    <xf numFmtId="9" fontId="30" fillId="0" borderId="20" xfId="1" applyFont="1" applyFill="1" applyBorder="1" applyAlignment="1"/>
    <xf numFmtId="9" fontId="30" fillId="0" borderId="37" xfId="1" applyFont="1" applyFill="1" applyBorder="1" applyAlignment="1"/>
    <xf numFmtId="0" fontId="30" fillId="23" borderId="30" xfId="0" applyFont="1" applyFill="1" applyBorder="1" applyAlignment="1">
      <alignment horizontal="center" vertical="center"/>
    </xf>
    <xf numFmtId="0" fontId="30" fillId="23" borderId="54" xfId="0" applyFont="1" applyFill="1" applyBorder="1" applyAlignment="1">
      <alignment horizontal="center" vertical="center"/>
    </xf>
    <xf numFmtId="0" fontId="3" fillId="0" borderId="27" xfId="0" applyFont="1" applyBorder="1" applyAlignment="1">
      <alignment vertical="top" wrapText="1"/>
    </xf>
    <xf numFmtId="10" fontId="0" fillId="0" borderId="27" xfId="0" applyNumberFormat="1" applyBorder="1" applyAlignment="1">
      <alignment vertical="top"/>
    </xf>
    <xf numFmtId="10" fontId="0" fillId="0" borderId="13" xfId="0" applyNumberFormat="1" applyBorder="1" applyAlignment="1">
      <alignment vertical="top"/>
    </xf>
    <xf numFmtId="0" fontId="75" fillId="0" borderId="54" xfId="0" applyFont="1" applyBorder="1" applyAlignment="1">
      <alignment vertical="top" wrapText="1"/>
    </xf>
    <xf numFmtId="10" fontId="0" fillId="0" borderId="27" xfId="1" applyNumberFormat="1" applyFont="1" applyBorder="1" applyAlignment="1">
      <alignment vertical="top"/>
    </xf>
    <xf numFmtId="10" fontId="0" fillId="0" borderId="16" xfId="1" applyNumberFormat="1" applyFont="1" applyBorder="1" applyAlignment="1">
      <alignment vertical="top"/>
    </xf>
    <xf numFmtId="0" fontId="75" fillId="0" borderId="27" xfId="0" applyFont="1" applyBorder="1" applyAlignment="1">
      <alignment vertical="top"/>
    </xf>
    <xf numFmtId="10" fontId="3" fillId="0" borderId="27" xfId="1" applyNumberFormat="1" applyFont="1" applyBorder="1" applyAlignment="1">
      <alignment vertical="top" wrapText="1"/>
    </xf>
    <xf numFmtId="0" fontId="75" fillId="0" borderId="27" xfId="0" applyFont="1" applyBorder="1" applyAlignment="1">
      <alignment vertical="top" wrapText="1"/>
    </xf>
    <xf numFmtId="10" fontId="0" fillId="0" borderId="27" xfId="0" applyNumberFormat="1" applyBorder="1"/>
    <xf numFmtId="0" fontId="3" fillId="0" borderId="37" xfId="0" applyFont="1" applyBorder="1" applyAlignment="1">
      <alignment vertical="top" wrapText="1"/>
    </xf>
    <xf numFmtId="10" fontId="3" fillId="0" borderId="37" xfId="1" applyNumberFormat="1" applyFont="1" applyBorder="1" applyAlignment="1">
      <alignment vertical="top" wrapText="1"/>
    </xf>
    <xf numFmtId="0" fontId="75" fillId="0" borderId="37" xfId="0" applyFont="1" applyBorder="1" applyAlignment="1">
      <alignment vertical="top"/>
    </xf>
    <xf numFmtId="0" fontId="48" fillId="0" borderId="0" xfId="0" applyFont="1" applyFill="1" applyBorder="1"/>
    <xf numFmtId="0" fontId="30" fillId="0" borderId="0" xfId="82" applyFont="1" applyFill="1" applyBorder="1" applyAlignment="1">
      <alignment wrapText="1"/>
    </xf>
    <xf numFmtId="0" fontId="48" fillId="0" borderId="0" xfId="0" applyFont="1" applyFill="1" applyBorder="1" applyAlignment="1">
      <alignment wrapText="1"/>
    </xf>
    <xf numFmtId="0" fontId="48" fillId="0" borderId="0" xfId="0" applyFont="1" applyFill="1" applyBorder="1" applyAlignment="1"/>
    <xf numFmtId="0" fontId="82" fillId="0" borderId="0" xfId="82" quotePrefix="1" applyFont="1" applyFill="1" applyBorder="1" applyAlignment="1">
      <alignment wrapText="1"/>
    </xf>
    <xf numFmtId="0" fontId="82" fillId="0" borderId="0" xfId="82" applyFont="1" applyFill="1" applyBorder="1" applyAlignment="1">
      <alignment wrapText="1"/>
    </xf>
    <xf numFmtId="10" fontId="82" fillId="0" borderId="0" xfId="82" quotePrefix="1" applyNumberFormat="1" applyFont="1" applyFill="1" applyBorder="1" applyAlignment="1">
      <alignment wrapText="1"/>
    </xf>
    <xf numFmtId="0" fontId="3" fillId="0" borderId="0" xfId="82" applyFont="1" applyFill="1" applyBorder="1" applyAlignment="1"/>
    <xf numFmtId="0" fontId="3" fillId="0" borderId="0" xfId="0" applyFont="1" applyBorder="1" applyAlignment="1">
      <alignment vertical="top" wrapText="1"/>
    </xf>
    <xf numFmtId="9" fontId="3" fillId="0" borderId="0" xfId="1" applyFont="1" applyBorder="1" applyAlignment="1">
      <alignment vertical="top" wrapText="1"/>
    </xf>
    <xf numFmtId="0" fontId="75" fillId="0" borderId="0" xfId="0" applyFont="1" applyBorder="1" applyAlignment="1">
      <alignment vertical="top"/>
    </xf>
    <xf numFmtId="0" fontId="30" fillId="18" borderId="0" xfId="0" applyFont="1" applyFill="1"/>
    <xf numFmtId="9" fontId="0" fillId="0" borderId="0" xfId="1" applyFont="1" applyAlignment="1"/>
    <xf numFmtId="0" fontId="3" fillId="28" borderId="0" xfId="0" applyFont="1" applyFill="1"/>
    <xf numFmtId="0" fontId="3" fillId="28" borderId="0" xfId="0" applyFont="1" applyFill="1" applyAlignment="1">
      <alignment horizontal="center" vertical="center"/>
    </xf>
    <xf numFmtId="0" fontId="3" fillId="28" borderId="0" xfId="0" applyFont="1" applyFill="1" applyAlignment="1">
      <alignment horizontal="center"/>
    </xf>
    <xf numFmtId="0" fontId="80" fillId="28" borderId="0" xfId="0" applyFont="1" applyFill="1"/>
    <xf numFmtId="4" fontId="80" fillId="28" borderId="0" xfId="0" applyNumberFormat="1" applyFont="1" applyFill="1" applyAlignment="1">
      <alignment horizontal="center" vertical="center"/>
    </xf>
    <xf numFmtId="170" fontId="80" fillId="28" borderId="0" xfId="0" applyNumberFormat="1" applyFont="1" applyFill="1" applyAlignment="1">
      <alignment horizontal="center" vertical="center"/>
    </xf>
    <xf numFmtId="170" fontId="3" fillId="28" borderId="0" xfId="0" applyNumberFormat="1" applyFont="1" applyFill="1" applyAlignment="1">
      <alignment horizontal="center" vertical="center"/>
    </xf>
    <xf numFmtId="170" fontId="3" fillId="28" borderId="0" xfId="0" applyNumberFormat="1" applyFont="1" applyFill="1"/>
    <xf numFmtId="0" fontId="80" fillId="28" borderId="0" xfId="0" applyFont="1" applyFill="1" applyAlignment="1">
      <alignment horizontal="center" vertical="center"/>
    </xf>
    <xf numFmtId="10" fontId="80" fillId="28" borderId="0" xfId="0" applyNumberFormat="1" applyFont="1" applyFill="1"/>
    <xf numFmtId="1" fontId="3" fillId="28" borderId="0" xfId="0" applyNumberFormat="1" applyFont="1" applyFill="1"/>
    <xf numFmtId="10" fontId="3" fillId="28" borderId="0" xfId="0" applyNumberFormat="1" applyFont="1" applyFill="1"/>
    <xf numFmtId="183" fontId="3" fillId="28" borderId="0" xfId="0" applyNumberFormat="1" applyFont="1" applyFill="1"/>
    <xf numFmtId="170" fontId="80" fillId="28" borderId="0" xfId="0" applyNumberFormat="1" applyFont="1" applyFill="1"/>
    <xf numFmtId="183" fontId="3" fillId="28" borderId="0" xfId="0" applyNumberFormat="1" applyFont="1" applyFill="1" applyAlignment="1">
      <alignment horizontal="center" vertical="center"/>
    </xf>
    <xf numFmtId="171" fontId="3" fillId="28" borderId="0" xfId="0" applyNumberFormat="1" applyFont="1" applyFill="1" applyAlignment="1">
      <alignment horizontal="center" vertical="center"/>
    </xf>
    <xf numFmtId="171" fontId="3" fillId="28" borderId="0" xfId="0" applyNumberFormat="1" applyFont="1" applyFill="1"/>
    <xf numFmtId="184" fontId="0" fillId="0" borderId="0" xfId="1" applyNumberFormat="1" applyFont="1" applyFill="1" applyBorder="1" applyAlignment="1">
      <alignment horizontal="center"/>
    </xf>
    <xf numFmtId="164" fontId="0" fillId="0" borderId="0" xfId="1" applyNumberFormat="1" applyFont="1" applyAlignment="1"/>
    <xf numFmtId="0" fontId="83" fillId="0" borderId="0" xfId="0" applyFont="1" applyFill="1" applyAlignment="1"/>
    <xf numFmtId="0" fontId="83" fillId="0" borderId="0" xfId="0" applyFont="1" applyFill="1"/>
    <xf numFmtId="170" fontId="83" fillId="0" borderId="0" xfId="0" applyNumberFormat="1" applyFont="1" applyFill="1"/>
    <xf numFmtId="0" fontId="83" fillId="18" borderId="0" xfId="0" applyFont="1" applyFill="1"/>
    <xf numFmtId="170" fontId="83" fillId="18" borderId="0" xfId="0" applyNumberFormat="1" applyFont="1" applyFill="1"/>
    <xf numFmtId="0" fontId="83" fillId="18" borderId="0" xfId="0" applyFont="1" applyFill="1" applyAlignment="1"/>
    <xf numFmtId="170" fontId="3" fillId="0" borderId="0" xfId="0" applyNumberFormat="1" applyFont="1"/>
    <xf numFmtId="0" fontId="3" fillId="19" borderId="13" xfId="0" applyFont="1" applyFill="1" applyBorder="1"/>
    <xf numFmtId="0" fontId="0" fillId="19" borderId="13" xfId="0" applyFill="1" applyBorder="1" applyAlignment="1">
      <alignment horizontal="center" wrapText="1"/>
    </xf>
    <xf numFmtId="0" fontId="0" fillId="19" borderId="13" xfId="0" applyFill="1" applyBorder="1" applyAlignment="1">
      <alignment wrapText="1"/>
    </xf>
    <xf numFmtId="0" fontId="0" fillId="19" borderId="54" xfId="0" applyFill="1" applyBorder="1" applyAlignment="1">
      <alignment horizontal="center"/>
    </xf>
    <xf numFmtId="0" fontId="0" fillId="19" borderId="14" xfId="0" applyFill="1" applyBorder="1" applyAlignment="1"/>
    <xf numFmtId="0" fontId="3" fillId="19" borderId="18" xfId="0" applyFont="1" applyFill="1" applyBorder="1"/>
    <xf numFmtId="0" fontId="0" fillId="19" borderId="18" xfId="0" applyFill="1" applyBorder="1" applyAlignment="1">
      <alignment horizontal="center"/>
    </xf>
    <xf numFmtId="0" fontId="0" fillId="19" borderId="18" xfId="0" applyFill="1" applyBorder="1" applyAlignment="1"/>
    <xf numFmtId="0" fontId="0" fillId="19" borderId="19" xfId="0" applyFill="1" applyBorder="1" applyAlignment="1">
      <alignment horizontal="center"/>
    </xf>
    <xf numFmtId="0" fontId="0" fillId="19" borderId="37" xfId="0" applyFill="1" applyBorder="1" applyAlignment="1"/>
    <xf numFmtId="0" fontId="0" fillId="19" borderId="37" xfId="0" applyFill="1" applyBorder="1" applyAlignment="1">
      <alignment horizontal="center"/>
    </xf>
    <xf numFmtId="9" fontId="0" fillId="19" borderId="20" xfId="1" applyFont="1" applyFill="1" applyBorder="1" applyAlignment="1"/>
    <xf numFmtId="0" fontId="0" fillId="12" borderId="16" xfId="0" applyFill="1" applyBorder="1" applyAlignment="1"/>
    <xf numFmtId="0" fontId="0" fillId="12" borderId="0" xfId="0" applyFill="1" applyBorder="1" applyAlignment="1"/>
    <xf numFmtId="0" fontId="3" fillId="19" borderId="16" xfId="0" applyFont="1" applyFill="1" applyBorder="1"/>
    <xf numFmtId="1" fontId="0" fillId="19" borderId="16" xfId="0" applyNumberFormat="1" applyFill="1" applyBorder="1" applyAlignment="1">
      <alignment horizontal="center"/>
    </xf>
    <xf numFmtId="0" fontId="3" fillId="11" borderId="45" xfId="0" applyFont="1" applyFill="1" applyBorder="1" applyAlignment="1"/>
    <xf numFmtId="9" fontId="0" fillId="19" borderId="0" xfId="1" applyFont="1" applyFill="1" applyBorder="1" applyAlignment="1">
      <alignment horizontal="center"/>
    </xf>
    <xf numFmtId="9" fontId="0" fillId="19" borderId="27" xfId="0" applyNumberFormat="1" applyFill="1" applyBorder="1" applyAlignment="1"/>
    <xf numFmtId="170" fontId="0" fillId="19" borderId="27" xfId="0" applyNumberFormat="1" applyFill="1" applyBorder="1" applyAlignment="1">
      <alignment horizontal="center"/>
    </xf>
    <xf numFmtId="170" fontId="0" fillId="19" borderId="17" xfId="0" applyNumberFormat="1" applyFill="1" applyBorder="1" applyAlignment="1">
      <alignment horizontal="center"/>
    </xf>
    <xf numFmtId="185" fontId="0" fillId="12" borderId="16" xfId="2" applyNumberFormat="1" applyFont="1" applyFill="1" applyBorder="1" applyAlignment="1"/>
    <xf numFmtId="185" fontId="0" fillId="12" borderId="0" xfId="2" applyNumberFormat="1" applyFont="1" applyFill="1" applyBorder="1" applyAlignment="1"/>
    <xf numFmtId="0" fontId="0" fillId="11" borderId="45" xfId="0" applyFill="1" applyBorder="1" applyAlignment="1"/>
    <xf numFmtId="0" fontId="3" fillId="19" borderId="16" xfId="0" applyFont="1" applyFill="1" applyBorder="1" applyAlignment="1"/>
    <xf numFmtId="0" fontId="0" fillId="19" borderId="16" xfId="0" applyFill="1" applyBorder="1" applyAlignment="1"/>
    <xf numFmtId="0" fontId="0" fillId="19" borderId="0" xfId="0" applyFill="1" applyBorder="1" applyAlignment="1"/>
    <xf numFmtId="0" fontId="0" fillId="19" borderId="27" xfId="0" applyFill="1" applyBorder="1" applyAlignment="1"/>
    <xf numFmtId="0" fontId="0" fillId="19" borderId="27" xfId="0" applyFill="1" applyBorder="1" applyAlignment="1">
      <alignment horizontal="center"/>
    </xf>
    <xf numFmtId="9" fontId="0" fillId="12" borderId="16" xfId="1" applyFont="1" applyFill="1" applyBorder="1" applyAlignment="1"/>
    <xf numFmtId="9" fontId="0" fillId="12" borderId="0" xfId="1" applyFont="1" applyFill="1" applyBorder="1" applyAlignment="1"/>
    <xf numFmtId="185" fontId="0" fillId="12" borderId="16" xfId="1" applyNumberFormat="1" applyFont="1" applyFill="1" applyBorder="1" applyAlignment="1"/>
    <xf numFmtId="185" fontId="0" fillId="12" borderId="0" xfId="1" applyNumberFormat="1" applyFont="1" applyFill="1" applyBorder="1" applyAlignment="1"/>
    <xf numFmtId="0" fontId="0" fillId="19" borderId="19" xfId="0" applyFill="1" applyBorder="1" applyAlignment="1"/>
    <xf numFmtId="9" fontId="0" fillId="19" borderId="37" xfId="1" applyFont="1" applyFill="1" applyBorder="1" applyAlignment="1">
      <alignment horizontal="center"/>
    </xf>
    <xf numFmtId="9" fontId="0" fillId="19" borderId="19" xfId="1" applyFont="1" applyFill="1" applyBorder="1" applyAlignment="1"/>
    <xf numFmtId="0" fontId="80" fillId="0" borderId="0" xfId="0" applyFont="1" applyAlignment="1"/>
    <xf numFmtId="0" fontId="0" fillId="28" borderId="79" xfId="0" applyFill="1" applyBorder="1" applyAlignment="1"/>
    <xf numFmtId="0" fontId="0" fillId="28" borderId="80" xfId="0" applyFill="1" applyBorder="1" applyAlignment="1"/>
    <xf numFmtId="9" fontId="0" fillId="28" borderId="81" xfId="1" applyFont="1" applyFill="1" applyBorder="1" applyAlignment="1"/>
    <xf numFmtId="0" fontId="0" fillId="12" borderId="0" xfId="0" applyFill="1" applyAlignment="1"/>
    <xf numFmtId="0" fontId="0" fillId="19" borderId="79" xfId="0" applyFill="1" applyBorder="1" applyAlignment="1"/>
    <xf numFmtId="0" fontId="0" fillId="19" borderId="80" xfId="0" applyFill="1" applyBorder="1" applyAlignment="1"/>
    <xf numFmtId="0" fontId="0" fillId="19" borderId="81" xfId="0" applyFill="1" applyBorder="1" applyAlignment="1">
      <alignment horizontal="center" vertical="center"/>
    </xf>
    <xf numFmtId="0" fontId="0" fillId="28" borderId="45" xfId="0" applyFill="1" applyBorder="1" applyAlignment="1"/>
    <xf numFmtId="0" fontId="0" fillId="28" borderId="0" xfId="0" applyFill="1" applyBorder="1" applyAlignment="1"/>
    <xf numFmtId="9" fontId="0" fillId="28" borderId="46" xfId="1" applyFont="1" applyFill="1" applyBorder="1" applyAlignment="1"/>
    <xf numFmtId="0" fontId="0" fillId="19" borderId="45" xfId="0" applyFill="1" applyBorder="1" applyAlignment="1"/>
    <xf numFmtId="0" fontId="0" fillId="19" borderId="46" xfId="0" applyFill="1" applyBorder="1" applyAlignment="1"/>
    <xf numFmtId="170" fontId="0" fillId="19" borderId="46" xfId="0" applyNumberFormat="1" applyFill="1" applyBorder="1" applyAlignment="1">
      <alignment horizontal="center" vertical="center"/>
    </xf>
    <xf numFmtId="0" fontId="3" fillId="28" borderId="45" xfId="0" applyFont="1" applyFill="1" applyBorder="1" applyAlignment="1"/>
    <xf numFmtId="0" fontId="40" fillId="19" borderId="0" xfId="0" applyFont="1" applyFill="1" applyBorder="1" applyAlignment="1">
      <alignment horizontal="center"/>
    </xf>
    <xf numFmtId="0" fontId="0" fillId="28" borderId="76" xfId="0" applyFill="1" applyBorder="1" applyAlignment="1"/>
    <xf numFmtId="0" fontId="0" fillId="28" borderId="77" xfId="0" applyFill="1" applyBorder="1" applyAlignment="1"/>
    <xf numFmtId="9" fontId="0" fillId="28" borderId="78" xfId="1" applyFont="1" applyFill="1" applyBorder="1" applyAlignment="1"/>
    <xf numFmtId="0" fontId="49" fillId="0" borderId="66" xfId="0" applyFont="1" applyBorder="1"/>
    <xf numFmtId="0" fontId="1" fillId="0" borderId="82" xfId="0" applyFont="1" applyBorder="1"/>
    <xf numFmtId="0" fontId="84" fillId="0" borderId="66" xfId="0" applyFont="1" applyBorder="1"/>
    <xf numFmtId="0" fontId="0" fillId="19" borderId="76" xfId="0" applyFill="1" applyBorder="1" applyAlignment="1"/>
    <xf numFmtId="0" fontId="0" fillId="19" borderId="77" xfId="0" applyFill="1" applyBorder="1" applyAlignment="1"/>
    <xf numFmtId="170" fontId="0" fillId="19" borderId="78" xfId="0" applyNumberFormat="1" applyFill="1" applyBorder="1" applyAlignment="1">
      <alignment horizontal="center" vertical="center"/>
    </xf>
    <xf numFmtId="0" fontId="3" fillId="19" borderId="79" xfId="0" applyFont="1" applyFill="1" applyBorder="1" applyAlignment="1"/>
    <xf numFmtId="0" fontId="0" fillId="19" borderId="30" xfId="0" applyFill="1" applyBorder="1" applyAlignment="1"/>
    <xf numFmtId="0" fontId="0" fillId="19" borderId="10" xfId="0" applyFill="1" applyBorder="1" applyAlignment="1"/>
    <xf numFmtId="0" fontId="0" fillId="19" borderId="29" xfId="0" applyFill="1" applyBorder="1" applyAlignment="1">
      <alignment horizontal="center"/>
    </xf>
    <xf numFmtId="0" fontId="0" fillId="19" borderId="30" xfId="0" applyFill="1" applyBorder="1" applyAlignment="1">
      <alignment horizontal="center"/>
    </xf>
    <xf numFmtId="0" fontId="0" fillId="19" borderId="59" xfId="0" applyFill="1" applyBorder="1" applyAlignment="1"/>
    <xf numFmtId="0" fontId="0" fillId="19" borderId="26" xfId="0" applyFill="1" applyBorder="1" applyAlignment="1">
      <alignment horizontal="center"/>
    </xf>
    <xf numFmtId="170" fontId="0" fillId="19" borderId="45" xfId="0" applyNumberFormat="1" applyFill="1" applyBorder="1" applyAlignment="1"/>
    <xf numFmtId="170" fontId="0" fillId="19" borderId="0" xfId="0" applyNumberFormat="1" applyFill="1" applyBorder="1" applyAlignment="1"/>
    <xf numFmtId="2" fontId="0" fillId="19" borderId="0" xfId="0" applyNumberFormat="1" applyFill="1" applyBorder="1" applyAlignment="1"/>
    <xf numFmtId="43" fontId="0" fillId="19" borderId="26" xfId="0" applyNumberFormat="1" applyFill="1" applyBorder="1" applyAlignment="1">
      <alignment horizontal="center"/>
    </xf>
    <xf numFmtId="43" fontId="0" fillId="19" borderId="27" xfId="0" applyNumberFormat="1" applyFill="1" applyBorder="1" applyAlignment="1">
      <alignment horizontal="center"/>
    </xf>
    <xf numFmtId="43" fontId="0" fillId="19" borderId="46" xfId="0" applyNumberFormat="1" applyFill="1" applyBorder="1" applyAlignment="1">
      <alignment horizontal="center"/>
    </xf>
    <xf numFmtId="43" fontId="0" fillId="19" borderId="27" xfId="0" applyNumberFormat="1" applyFill="1" applyBorder="1" applyAlignment="1"/>
    <xf numFmtId="43" fontId="0" fillId="19" borderId="46" xfId="0" applyNumberFormat="1" applyFill="1" applyBorder="1" applyAlignment="1"/>
    <xf numFmtId="184" fontId="80" fillId="19" borderId="26" xfId="1" applyNumberFormat="1" applyFont="1" applyFill="1" applyBorder="1" applyAlignment="1">
      <alignment horizontal="center"/>
    </xf>
    <xf numFmtId="184" fontId="80" fillId="19" borderId="27" xfId="1" applyNumberFormat="1" applyFont="1" applyFill="1" applyBorder="1" applyAlignment="1">
      <alignment horizontal="center"/>
    </xf>
    <xf numFmtId="0" fontId="80" fillId="19" borderId="27" xfId="0" applyFont="1" applyFill="1" applyBorder="1" applyAlignment="1"/>
    <xf numFmtId="9" fontId="80" fillId="19" borderId="27" xfId="1" applyFont="1" applyFill="1" applyBorder="1" applyAlignment="1"/>
    <xf numFmtId="9" fontId="80" fillId="19" borderId="46" xfId="1" applyFont="1" applyFill="1" applyBorder="1" applyAlignment="1"/>
    <xf numFmtId="9" fontId="0" fillId="19" borderId="26" xfId="1" applyFont="1" applyFill="1" applyBorder="1" applyAlignment="1">
      <alignment horizontal="center"/>
    </xf>
    <xf numFmtId="9" fontId="0" fillId="19" borderId="27" xfId="1" applyFont="1" applyFill="1" applyBorder="1" applyAlignment="1">
      <alignment horizontal="center"/>
    </xf>
    <xf numFmtId="9" fontId="0" fillId="19" borderId="27" xfId="1" applyFont="1" applyFill="1" applyBorder="1" applyAlignment="1"/>
    <xf numFmtId="9" fontId="0" fillId="19" borderId="46" xfId="1" applyFont="1" applyFill="1" applyBorder="1" applyAlignment="1"/>
    <xf numFmtId="9" fontId="0" fillId="19" borderId="32" xfId="1" applyFont="1" applyFill="1" applyBorder="1" applyAlignment="1">
      <alignment horizontal="center"/>
    </xf>
    <xf numFmtId="9" fontId="0" fillId="19" borderId="33" xfId="1" applyFont="1" applyFill="1" applyBorder="1" applyAlignment="1">
      <alignment horizontal="center"/>
    </xf>
    <xf numFmtId="9" fontId="0" fillId="19" borderId="33" xfId="1" applyFont="1" applyFill="1" applyBorder="1" applyAlignment="1"/>
    <xf numFmtId="9" fontId="0" fillId="19" borderId="78" xfId="1" applyFont="1" applyFill="1" applyBorder="1" applyAlignment="1"/>
    <xf numFmtId="0" fontId="30" fillId="23" borderId="54" xfId="0" applyFont="1" applyFill="1" applyBorder="1" applyAlignment="1">
      <alignment vertical="top" wrapText="1"/>
    </xf>
    <xf numFmtId="0" fontId="30" fillId="23" borderId="37" xfId="0" applyFont="1" applyFill="1" applyBorder="1" applyAlignment="1">
      <alignment vertical="top" wrapText="1"/>
    </xf>
    <xf numFmtId="0" fontId="3" fillId="23" borderId="30" xfId="0" applyFont="1" applyFill="1" applyBorder="1" applyAlignment="1">
      <alignment horizontal="center" vertical="top" wrapText="1"/>
    </xf>
    <xf numFmtId="0" fontId="0" fillId="23" borderId="30" xfId="0" applyFill="1" applyBorder="1" applyAlignment="1">
      <alignment horizontal="center"/>
    </xf>
    <xf numFmtId="0" fontId="3" fillId="23" borderId="30" xfId="0" applyFont="1" applyFill="1" applyBorder="1" applyAlignment="1">
      <alignment horizontal="center"/>
    </xf>
    <xf numFmtId="0" fontId="0" fillId="23" borderId="30" xfId="0" applyFont="1" applyFill="1" applyBorder="1" applyAlignment="1">
      <alignment horizontal="center"/>
    </xf>
    <xf numFmtId="0" fontId="3" fillId="0" borderId="27" xfId="0" applyFont="1" applyBorder="1" applyAlignment="1">
      <alignment horizontal="left" vertical="center"/>
    </xf>
    <xf numFmtId="164" fontId="0" fillId="0" borderId="13" xfId="0" applyNumberFormat="1" applyBorder="1" applyAlignment="1">
      <alignment horizontal="center"/>
    </xf>
    <xf numFmtId="164" fontId="0" fillId="0" borderId="54" xfId="0" applyNumberFormat="1" applyBorder="1" applyAlignment="1">
      <alignment horizontal="center"/>
    </xf>
    <xf numFmtId="164" fontId="3" fillId="0" borderId="54" xfId="0" applyNumberFormat="1" applyFont="1" applyBorder="1" applyAlignment="1">
      <alignment horizontal="center"/>
    </xf>
    <xf numFmtId="164" fontId="0" fillId="0" borderId="16" xfId="0" applyNumberFormat="1" applyBorder="1" applyAlignment="1">
      <alignment horizontal="center"/>
    </xf>
    <xf numFmtId="164" fontId="0" fillId="0" borderId="27" xfId="0" applyNumberFormat="1" applyBorder="1" applyAlignment="1">
      <alignment horizontal="center"/>
    </xf>
    <xf numFmtId="164" fontId="3" fillId="0" borderId="27" xfId="0" applyNumberFormat="1" applyFont="1" applyBorder="1" applyAlignment="1">
      <alignment horizontal="center"/>
    </xf>
    <xf numFmtId="0" fontId="3" fillId="0" borderId="37" xfId="0" applyFont="1" applyBorder="1" applyAlignment="1">
      <alignment horizontal="left" vertical="center"/>
    </xf>
    <xf numFmtId="164" fontId="0" fillId="0" borderId="18" xfId="0" applyNumberFormat="1" applyBorder="1" applyAlignment="1">
      <alignment horizontal="center"/>
    </xf>
    <xf numFmtId="164" fontId="0" fillId="0" borderId="37" xfId="0" applyNumberFormat="1" applyBorder="1" applyAlignment="1">
      <alignment horizontal="center"/>
    </xf>
    <xf numFmtId="164" fontId="3" fillId="0" borderId="37" xfId="0" applyNumberFormat="1" applyFont="1" applyBorder="1" applyAlignment="1">
      <alignment horizontal="center"/>
    </xf>
    <xf numFmtId="0" fontId="30" fillId="0" borderId="30" xfId="0" applyFont="1" applyBorder="1" applyAlignment="1">
      <alignment vertical="center" wrapText="1"/>
    </xf>
    <xf numFmtId="164" fontId="30" fillId="0" borderId="13" xfId="0" applyNumberFormat="1" applyFont="1" applyBorder="1" applyAlignment="1">
      <alignment horizontal="center"/>
    </xf>
    <xf numFmtId="164" fontId="30" fillId="0" borderId="54" xfId="0" applyNumberFormat="1" applyFont="1" applyBorder="1" applyAlignment="1">
      <alignment horizontal="center"/>
    </xf>
    <xf numFmtId="164" fontId="30" fillId="0" borderId="54" xfId="0" applyNumberFormat="1" applyFont="1" applyBorder="1" applyAlignment="1">
      <alignment horizontal="center" vertical="center"/>
    </xf>
    <xf numFmtId="0" fontId="30" fillId="0" borderId="10" xfId="0" applyFont="1" applyBorder="1" applyAlignment="1">
      <alignment vertical="center" wrapText="1"/>
    </xf>
    <xf numFmtId="164" fontId="30" fillId="0" borderId="10" xfId="0" applyNumberFormat="1" applyFont="1" applyBorder="1" applyAlignment="1">
      <alignment horizontal="center" vertical="center"/>
    </xf>
    <xf numFmtId="164" fontId="30" fillId="0" borderId="30" xfId="0" applyNumberFormat="1" applyFont="1" applyBorder="1" applyAlignment="1">
      <alignment horizontal="center" vertical="center"/>
    </xf>
    <xf numFmtId="9" fontId="30" fillId="0" borderId="10" xfId="1" applyFont="1" applyBorder="1" applyAlignment="1">
      <alignment horizontal="center"/>
    </xf>
    <xf numFmtId="9" fontId="30" fillId="0" borderId="30" xfId="1" applyFont="1" applyBorder="1" applyAlignment="1">
      <alignment horizontal="center"/>
    </xf>
    <xf numFmtId="9" fontId="22" fillId="0" borderId="0" xfId="1" applyFont="1" applyAlignment="1">
      <alignment horizontal="center"/>
    </xf>
    <xf numFmtId="0" fontId="22" fillId="25" borderId="10" xfId="0" applyFont="1" applyFill="1" applyBorder="1" applyAlignment="1"/>
    <xf numFmtId="9" fontId="22" fillId="25" borderId="10" xfId="1" applyFont="1" applyFill="1" applyBorder="1" applyAlignment="1">
      <alignment horizontal="center" wrapText="1"/>
    </xf>
    <xf numFmtId="9" fontId="22" fillId="25" borderId="11" xfId="1" applyFont="1" applyFill="1" applyBorder="1" applyAlignment="1">
      <alignment horizontal="center" wrapText="1"/>
    </xf>
    <xf numFmtId="9" fontId="22" fillId="25" borderId="12" xfId="1" applyFont="1" applyFill="1" applyBorder="1" applyAlignment="1">
      <alignment horizontal="center" wrapText="1"/>
    </xf>
    <xf numFmtId="9" fontId="22" fillId="0" borderId="0" xfId="1" applyFont="1" applyAlignment="1">
      <alignment horizontal="center" wrapText="1"/>
    </xf>
    <xf numFmtId="0" fontId="21" fillId="0" borderId="18" xfId="0" applyFont="1" applyBorder="1" applyAlignment="1"/>
    <xf numFmtId="9" fontId="21" fillId="0" borderId="18" xfId="1" applyFont="1" applyBorder="1" applyAlignment="1">
      <alignment horizontal="center"/>
    </xf>
    <xf numFmtId="9" fontId="21" fillId="0" borderId="19" xfId="1" applyFont="1" applyBorder="1" applyAlignment="1">
      <alignment horizontal="center"/>
    </xf>
    <xf numFmtId="9" fontId="21" fillId="0" borderId="20" xfId="1" applyFont="1" applyBorder="1" applyAlignment="1">
      <alignment horizontal="center"/>
    </xf>
    <xf numFmtId="9" fontId="21" fillId="0" borderId="0" xfId="1" applyFont="1" applyAlignment="1">
      <alignment horizontal="center"/>
    </xf>
    <xf numFmtId="1" fontId="33" fillId="0" borderId="79" xfId="61" applyNumberFormat="1" applyFont="1" applyBorder="1" applyAlignment="1" applyProtection="1">
      <alignment horizontal="center" vertical="center" wrapText="1"/>
    </xf>
    <xf numFmtId="1" fontId="33" fillId="0" borderId="80" xfId="61" applyNumberFormat="1" applyFont="1" applyBorder="1" applyAlignment="1" applyProtection="1">
      <alignment horizontal="center" vertical="center" wrapText="1"/>
    </xf>
    <xf numFmtId="1" fontId="33" fillId="0" borderId="81" xfId="61" applyNumberFormat="1" applyFont="1" applyBorder="1" applyAlignment="1" applyProtection="1">
      <alignment horizontal="center" vertical="center" wrapText="1"/>
    </xf>
    <xf numFmtId="1" fontId="33" fillId="0" borderId="45" xfId="61" applyNumberFormat="1" applyFont="1" applyBorder="1" applyAlignment="1" applyProtection="1">
      <alignment horizontal="center" vertical="center" wrapText="1"/>
    </xf>
    <xf numFmtId="1" fontId="33" fillId="0" borderId="0" xfId="61" applyNumberFormat="1" applyFont="1" applyBorder="1" applyAlignment="1" applyProtection="1">
      <alignment horizontal="center" vertical="center" wrapText="1"/>
    </xf>
    <xf numFmtId="1" fontId="33" fillId="0" borderId="46" xfId="61" applyNumberFormat="1" applyFont="1" applyBorder="1" applyAlignment="1" applyProtection="1">
      <alignment horizontal="center" vertical="center" wrapText="1"/>
    </xf>
    <xf numFmtId="1" fontId="33" fillId="0" borderId="76" xfId="61" applyNumberFormat="1" applyFont="1" applyBorder="1" applyAlignment="1" applyProtection="1">
      <alignment horizontal="center" vertical="center" wrapText="1"/>
    </xf>
    <xf numFmtId="1" fontId="33" fillId="0" borderId="77" xfId="61" applyNumberFormat="1" applyFont="1" applyBorder="1" applyAlignment="1" applyProtection="1">
      <alignment horizontal="center" vertical="center" wrapText="1"/>
    </xf>
    <xf numFmtId="1" fontId="33" fillId="0" borderId="78" xfId="61" applyNumberFormat="1" applyFont="1" applyBorder="1" applyAlignment="1" applyProtection="1">
      <alignment horizontal="center" vertical="center" wrapText="1"/>
    </xf>
    <xf numFmtId="1" fontId="33" fillId="0" borderId="21" xfId="61" applyNumberFormat="1" applyFont="1" applyBorder="1" applyAlignment="1" applyProtection="1">
      <alignment horizontal="center" vertical="center" wrapText="1"/>
    </xf>
    <xf numFmtId="1" fontId="33" fillId="0" borderId="25" xfId="61" applyNumberFormat="1" applyFont="1" applyBorder="1" applyAlignment="1" applyProtection="1">
      <alignment horizontal="center" vertical="center" wrapText="1"/>
    </xf>
    <xf numFmtId="1" fontId="33" fillId="0" borderId="31" xfId="61" applyNumberFormat="1" applyFont="1" applyBorder="1" applyAlignment="1" applyProtection="1">
      <alignment horizontal="center" vertical="center" wrapText="1"/>
    </xf>
    <xf numFmtId="1" fontId="33" fillId="0" borderId="82" xfId="61" applyNumberFormat="1" applyFont="1" applyBorder="1" applyAlignment="1" applyProtection="1">
      <alignment horizontal="center"/>
    </xf>
    <xf numFmtId="1" fontId="33" fillId="0" borderId="67" xfId="61" applyNumberFormat="1" applyFont="1" applyBorder="1" applyAlignment="1" applyProtection="1">
      <alignment horizontal="center"/>
    </xf>
    <xf numFmtId="1" fontId="33" fillId="0" borderId="82" xfId="61" quotePrefix="1" applyNumberFormat="1" applyFont="1" applyBorder="1" applyAlignment="1" applyProtection="1">
      <alignment horizontal="center"/>
    </xf>
    <xf numFmtId="0" fontId="30" fillId="0" borderId="22" xfId="62" applyFont="1" applyBorder="1" applyAlignment="1" applyProtection="1">
      <alignment horizontal="center" vertical="center"/>
    </xf>
    <xf numFmtId="0" fontId="30" fillId="0" borderId="35" xfId="62" applyFont="1" applyBorder="1" applyAlignment="1" applyProtection="1">
      <alignment horizontal="center" vertical="center"/>
    </xf>
    <xf numFmtId="0" fontId="30" fillId="0" borderId="73" xfId="62" applyFont="1" applyBorder="1" applyAlignment="1" applyProtection="1">
      <alignment horizontal="center" vertical="center"/>
    </xf>
    <xf numFmtId="0" fontId="30" fillId="0" borderId="36" xfId="62" applyFont="1" applyBorder="1" applyAlignment="1" applyProtection="1">
      <alignment horizontal="center" vertical="center"/>
    </xf>
    <xf numFmtId="0" fontId="3" fillId="0" borderId="22" xfId="62" applyBorder="1" applyAlignment="1" applyProtection="1">
      <alignment horizontal="center"/>
    </xf>
    <xf numFmtId="0" fontId="3" fillId="0" borderId="35" xfId="62" applyBorder="1" applyAlignment="1" applyProtection="1">
      <alignment horizontal="center"/>
    </xf>
    <xf numFmtId="0" fontId="30" fillId="0" borderId="73" xfId="72" applyFont="1" applyBorder="1" applyAlignment="1" applyProtection="1">
      <alignment horizontal="center" vertical="center"/>
    </xf>
    <xf numFmtId="0" fontId="30" fillId="0" borderId="36" xfId="72" applyFont="1" applyBorder="1" applyAlignment="1" applyProtection="1">
      <alignment horizontal="center" vertical="center"/>
    </xf>
    <xf numFmtId="0" fontId="30" fillId="0" borderId="22" xfId="72" applyFont="1" applyFill="1" applyBorder="1" applyAlignment="1" applyProtection="1">
      <alignment horizontal="center" vertical="center"/>
    </xf>
    <xf numFmtId="0" fontId="30" fillId="0" borderId="35" xfId="72" applyFont="1" applyFill="1" applyBorder="1" applyAlignment="1" applyProtection="1">
      <alignment horizontal="center" vertical="center"/>
    </xf>
    <xf numFmtId="0" fontId="30" fillId="0" borderId="22" xfId="72" applyFont="1" applyBorder="1" applyAlignment="1" applyProtection="1">
      <alignment horizontal="center"/>
    </xf>
    <xf numFmtId="0" fontId="30" fillId="0" borderId="35" xfId="72" applyFont="1" applyBorder="1" applyAlignment="1" applyProtection="1">
      <alignment horizontal="center"/>
    </xf>
    <xf numFmtId="0" fontId="30" fillId="0" borderId="84" xfId="62" applyFont="1" applyFill="1" applyBorder="1" applyAlignment="1" applyProtection="1">
      <alignment horizontal="center"/>
    </xf>
    <xf numFmtId="0" fontId="30" fillId="0" borderId="82" xfId="62" applyFont="1" applyFill="1" applyBorder="1" applyAlignment="1" applyProtection="1">
      <alignment horizontal="center"/>
    </xf>
    <xf numFmtId="0" fontId="30" fillId="0" borderId="67" xfId="62" applyFont="1" applyFill="1" applyBorder="1" applyAlignment="1" applyProtection="1">
      <alignment horizontal="center"/>
    </xf>
    <xf numFmtId="0" fontId="30" fillId="0" borderId="21" xfId="62" applyFont="1" applyBorder="1" applyAlignment="1" applyProtection="1">
      <alignment horizontal="center" vertical="center" wrapText="1"/>
    </xf>
    <xf numFmtId="0" fontId="30" fillId="0" borderId="65" xfId="62" applyFont="1" applyBorder="1" applyAlignment="1" applyProtection="1">
      <alignment horizontal="center" vertical="center" wrapText="1"/>
    </xf>
    <xf numFmtId="0" fontId="30" fillId="0" borderId="47" xfId="62" applyFont="1" applyBorder="1" applyAlignment="1" applyProtection="1">
      <alignment horizontal="center" vertical="center" wrapText="1"/>
    </xf>
    <xf numFmtId="0" fontId="30" fillId="0" borderId="19" xfId="62" applyFont="1" applyBorder="1" applyAlignment="1" applyProtection="1">
      <alignment horizontal="center" vertical="center" wrapText="1"/>
    </xf>
    <xf numFmtId="0" fontId="30" fillId="0" borderId="21" xfId="62" applyFont="1" applyBorder="1" applyAlignment="1" applyProtection="1">
      <alignment horizontal="center"/>
    </xf>
    <xf numFmtId="0" fontId="30" fillId="0" borderId="25" xfId="62" applyFont="1" applyBorder="1" applyAlignment="1" applyProtection="1">
      <alignment horizontal="center"/>
    </xf>
    <xf numFmtId="0" fontId="30" fillId="0" borderId="65" xfId="62" applyFont="1" applyBorder="1" applyAlignment="1" applyProtection="1">
      <alignment horizontal="center"/>
    </xf>
    <xf numFmtId="0" fontId="30" fillId="0" borderId="49" xfId="62" applyFont="1" applyBorder="1" applyAlignment="1" applyProtection="1">
      <alignment horizontal="center" vertical="center"/>
    </xf>
    <xf numFmtId="0" fontId="30" fillId="0" borderId="50" xfId="62" applyFont="1" applyBorder="1" applyAlignment="1" applyProtection="1">
      <alignment horizontal="center" vertical="center"/>
    </xf>
    <xf numFmtId="0" fontId="30" fillId="0" borderId="51" xfId="62" applyFont="1" applyBorder="1" applyAlignment="1" applyProtection="1">
      <alignment horizontal="center" vertical="center"/>
    </xf>
    <xf numFmtId="0" fontId="30" fillId="0" borderId="21" xfId="65" applyFont="1" applyFill="1" applyBorder="1" applyAlignment="1" applyProtection="1">
      <alignment horizontal="center" vertical="center" wrapText="1"/>
    </xf>
    <xf numFmtId="0" fontId="30" fillId="0" borderId="65" xfId="65" applyFont="1" applyFill="1" applyBorder="1" applyAlignment="1" applyProtection="1">
      <alignment horizontal="center" vertical="center" wrapText="1"/>
    </xf>
    <xf numFmtId="0" fontId="30" fillId="0" borderId="79" xfId="62" applyFont="1" applyBorder="1" applyAlignment="1" applyProtection="1">
      <alignment horizontal="center" vertical="center"/>
    </xf>
    <xf numFmtId="0" fontId="0" fillId="0" borderId="80" xfId="0" applyBorder="1" applyAlignment="1"/>
    <xf numFmtId="0" fontId="0" fillId="0" borderId="81" xfId="0" applyBorder="1" applyAlignment="1"/>
    <xf numFmtId="0" fontId="0" fillId="0" borderId="50" xfId="0" applyBorder="1" applyAlignment="1">
      <alignment horizontal="center" vertical="center"/>
    </xf>
    <xf numFmtId="0" fontId="0" fillId="0" borderId="51" xfId="0" applyBorder="1" applyAlignment="1">
      <alignment horizontal="center" vertical="center"/>
    </xf>
    <xf numFmtId="0" fontId="3" fillId="0" borderId="43" xfId="63" applyFont="1" applyBorder="1" applyAlignment="1" applyProtection="1">
      <alignment horizontal="left"/>
    </xf>
    <xf numFmtId="0" fontId="3" fillId="0" borderId="44" xfId="63" applyFont="1" applyBorder="1" applyAlignment="1" applyProtection="1">
      <alignment horizontal="left"/>
    </xf>
    <xf numFmtId="0" fontId="3" fillId="0" borderId="85" xfId="63" applyFont="1" applyBorder="1" applyAlignment="1" applyProtection="1">
      <alignment horizontal="left"/>
    </xf>
    <xf numFmtId="0" fontId="3" fillId="0" borderId="64" xfId="63" applyFont="1" applyBorder="1" applyAlignment="1" applyProtection="1">
      <alignment horizontal="left"/>
    </xf>
    <xf numFmtId="0" fontId="3" fillId="0" borderId="55" xfId="63" applyFont="1" applyBorder="1" applyAlignment="1" applyProtection="1">
      <alignment horizontal="center"/>
    </xf>
    <xf numFmtId="0" fontId="3" fillId="0" borderId="57" xfId="63" applyFont="1" applyBorder="1" applyAlignment="1" applyProtection="1">
      <alignment horizontal="center"/>
    </xf>
    <xf numFmtId="0" fontId="3" fillId="0" borderId="29" xfId="63" applyFont="1" applyBorder="1" applyAlignment="1" applyProtection="1">
      <alignment horizontal="center"/>
    </xf>
    <xf numFmtId="0" fontId="3" fillId="0" borderId="38" xfId="63" applyFont="1" applyBorder="1" applyAlignment="1" applyProtection="1">
      <alignment horizontal="center"/>
    </xf>
    <xf numFmtId="0" fontId="3" fillId="0" borderId="29" xfId="63" applyFont="1" applyBorder="1" applyAlignment="1" applyProtection="1">
      <alignment horizontal="left" vertical="center"/>
    </xf>
    <xf numFmtId="0" fontId="3" fillId="0" borderId="38" xfId="63" applyFont="1" applyBorder="1" applyAlignment="1" applyProtection="1">
      <alignment horizontal="left" vertical="center"/>
    </xf>
    <xf numFmtId="0" fontId="3" fillId="0" borderId="29" xfId="63" applyFont="1" applyBorder="1" applyAlignment="1" applyProtection="1">
      <alignment horizontal="left" vertical="center" wrapText="1"/>
    </xf>
    <xf numFmtId="0" fontId="3" fillId="0" borderId="38" xfId="63" applyFont="1" applyBorder="1" applyAlignment="1" applyProtection="1">
      <alignment horizontal="left" vertical="center" wrapText="1"/>
    </xf>
    <xf numFmtId="0" fontId="3" fillId="0" borderId="39" xfId="63" applyFont="1" applyBorder="1" applyAlignment="1" applyProtection="1">
      <alignment horizontal="left" vertical="center" wrapText="1"/>
    </xf>
    <xf numFmtId="0" fontId="3" fillId="0" borderId="41" xfId="63" applyFont="1" applyBorder="1" applyAlignment="1" applyProtection="1">
      <alignment horizontal="left" vertical="center" wrapText="1"/>
    </xf>
    <xf numFmtId="0" fontId="3" fillId="0" borderId="79" xfId="63" applyFont="1" applyBorder="1" applyAlignment="1" applyProtection="1">
      <alignment horizontal="left" vertical="center"/>
    </xf>
    <xf numFmtId="0" fontId="3" fillId="0" borderId="81" xfId="63" applyFont="1" applyBorder="1" applyAlignment="1" applyProtection="1">
      <alignment horizontal="left" vertical="center"/>
    </xf>
    <xf numFmtId="0" fontId="3" fillId="0" borderId="47" xfId="63" applyFont="1" applyBorder="1" applyAlignment="1" applyProtection="1">
      <alignment horizontal="left" vertical="center"/>
    </xf>
    <xf numFmtId="0" fontId="3" fillId="0" borderId="48" xfId="63" applyFont="1" applyBorder="1" applyAlignment="1" applyProtection="1">
      <alignment horizontal="left" vertical="center"/>
    </xf>
    <xf numFmtId="0" fontId="30" fillId="0" borderId="29" xfId="77" applyFont="1" applyBorder="1" applyAlignment="1" applyProtection="1">
      <alignment horizontal="left" vertical="center"/>
    </xf>
    <xf numFmtId="0" fontId="30" fillId="0" borderId="79" xfId="77" applyFont="1" applyFill="1" applyBorder="1" applyAlignment="1" applyProtection="1">
      <alignment horizontal="center" vertical="center"/>
    </xf>
    <xf numFmtId="0" fontId="30" fillId="0" borderId="81" xfId="77" applyFont="1" applyFill="1" applyBorder="1" applyAlignment="1" applyProtection="1">
      <alignment horizontal="center" vertical="center"/>
    </xf>
    <xf numFmtId="0" fontId="30" fillId="0" borderId="45" xfId="77" applyFont="1" applyFill="1" applyBorder="1" applyAlignment="1" applyProtection="1">
      <alignment horizontal="center" vertical="center"/>
    </xf>
    <xf numFmtId="0" fontId="30" fillId="0" borderId="46" xfId="77" applyFont="1" applyFill="1" applyBorder="1" applyAlignment="1" applyProtection="1">
      <alignment horizontal="center" vertical="center"/>
    </xf>
    <xf numFmtId="0" fontId="30" fillId="0" borderId="47" xfId="77" applyFont="1" applyFill="1" applyBorder="1" applyAlignment="1" applyProtection="1">
      <alignment horizontal="center" vertical="center"/>
    </xf>
    <xf numFmtId="0" fontId="30" fillId="0" borderId="48" xfId="77" applyFont="1" applyFill="1" applyBorder="1" applyAlignment="1" applyProtection="1">
      <alignment horizontal="center" vertical="center"/>
    </xf>
    <xf numFmtId="0" fontId="30" fillId="0" borderId="35" xfId="77" applyFont="1" applyBorder="1" applyAlignment="1" applyProtection="1">
      <alignment horizontal="left" vertical="center" wrapText="1"/>
    </xf>
    <xf numFmtId="0" fontId="30" fillId="0" borderId="29" xfId="77" applyFont="1" applyBorder="1" applyAlignment="1" applyProtection="1">
      <alignment horizontal="left" vertical="center" wrapText="1"/>
    </xf>
    <xf numFmtId="0" fontId="30" fillId="0" borderId="26" xfId="65" applyFont="1" applyFill="1" applyBorder="1" applyAlignment="1" applyProtection="1">
      <alignment horizontal="left" vertical="center"/>
    </xf>
    <xf numFmtId="0" fontId="37" fillId="0" borderId="26" xfId="0" applyFont="1" applyBorder="1" applyAlignment="1" applyProtection="1">
      <alignment horizontal="left" vertical="center"/>
    </xf>
    <xf numFmtId="0" fontId="37" fillId="0" borderId="35" xfId="0" applyFont="1" applyBorder="1" applyAlignment="1" applyProtection="1">
      <alignment horizontal="left" vertical="center"/>
    </xf>
    <xf numFmtId="0" fontId="30" fillId="0" borderId="52" xfId="77" applyFont="1" applyBorder="1" applyAlignment="1" applyProtection="1">
      <alignment horizontal="left" vertical="center"/>
    </xf>
    <xf numFmtId="0" fontId="30" fillId="0" borderId="52" xfId="65" applyFont="1" applyFill="1" applyBorder="1" applyAlignment="1" applyProtection="1">
      <alignment horizontal="left" vertical="center"/>
    </xf>
    <xf numFmtId="0" fontId="30" fillId="0" borderId="10" xfId="79" applyFont="1" applyBorder="1" applyAlignment="1" applyProtection="1">
      <alignment horizontal="center" vertical="center"/>
    </xf>
    <xf numFmtId="0" fontId="30" fillId="0" borderId="11" xfId="79" applyFont="1" applyBorder="1" applyAlignment="1" applyProtection="1">
      <alignment horizontal="center" vertical="center"/>
    </xf>
    <xf numFmtId="0" fontId="30" fillId="0" borderId="59" xfId="79" applyFont="1" applyBorder="1" applyAlignment="1" applyProtection="1">
      <alignment horizontal="center" vertical="center"/>
    </xf>
    <xf numFmtId="0" fontId="3" fillId="0" borderId="79" xfId="79" applyFont="1" applyBorder="1" applyAlignment="1" applyProtection="1">
      <alignment horizontal="center" vertical="center"/>
    </xf>
    <xf numFmtId="0" fontId="3" fillId="0" borderId="81" xfId="79" applyFont="1" applyBorder="1" applyAlignment="1" applyProtection="1">
      <alignment horizontal="center" vertical="center"/>
    </xf>
    <xf numFmtId="0" fontId="3" fillId="0" borderId="47" xfId="79" applyFont="1" applyBorder="1" applyAlignment="1" applyProtection="1">
      <alignment horizontal="center" vertical="center"/>
    </xf>
    <xf numFmtId="0" fontId="3" fillId="0" borderId="48" xfId="79" applyFont="1" applyBorder="1" applyAlignment="1" applyProtection="1">
      <alignment horizontal="center" vertical="center"/>
    </xf>
    <xf numFmtId="0" fontId="30" fillId="0" borderId="49" xfId="79" applyFont="1" applyBorder="1" applyAlignment="1" applyProtection="1">
      <alignment horizontal="center" vertical="center"/>
    </xf>
    <xf numFmtId="0" fontId="0" fillId="0" borderId="50" xfId="0" applyBorder="1"/>
    <xf numFmtId="0" fontId="0" fillId="0" borderId="51" xfId="0" applyBorder="1"/>
    <xf numFmtId="0" fontId="30" fillId="0" borderId="49" xfId="79" applyFont="1" applyBorder="1" applyAlignment="1" applyProtection="1">
      <alignment horizontal="center" vertical="center" wrapText="1"/>
    </xf>
    <xf numFmtId="0" fontId="30" fillId="0" borderId="50" xfId="79" applyFont="1" applyBorder="1" applyAlignment="1" applyProtection="1">
      <alignment horizontal="center" vertical="center" wrapText="1"/>
    </xf>
    <xf numFmtId="0" fontId="30" fillId="0" borderId="51" xfId="79" applyFont="1" applyBorder="1" applyAlignment="1" applyProtection="1">
      <alignment horizontal="center" vertical="center" wrapText="1"/>
    </xf>
    <xf numFmtId="0" fontId="30" fillId="0" borderId="50" xfId="79" applyFont="1" applyBorder="1" applyAlignment="1" applyProtection="1">
      <alignment horizontal="center" vertical="center"/>
    </xf>
    <xf numFmtId="0" fontId="30" fillId="0" borderId="51" xfId="79" applyFont="1" applyBorder="1" applyAlignment="1" applyProtection="1">
      <alignment horizontal="center" vertical="center"/>
    </xf>
    <xf numFmtId="0" fontId="3" fillId="0" borderId="70" xfId="79" applyFont="1" applyBorder="1" applyAlignment="1" applyProtection="1">
      <alignment horizontal="center" vertical="center"/>
    </xf>
    <xf numFmtId="0" fontId="3" fillId="0" borderId="65" xfId="79" applyFont="1" applyBorder="1" applyAlignment="1" applyProtection="1">
      <alignment horizontal="center" vertical="center"/>
    </xf>
    <xf numFmtId="0" fontId="30" fillId="0" borderId="10" xfId="79" applyFont="1" applyBorder="1" applyAlignment="1" applyProtection="1">
      <alignment horizontal="center" vertical="center" wrapText="1"/>
    </xf>
    <xf numFmtId="0" fontId="30" fillId="0" borderId="11" xfId="79" applyFont="1" applyBorder="1" applyAlignment="1" applyProtection="1">
      <alignment horizontal="center" vertical="center" wrapText="1"/>
    </xf>
    <xf numFmtId="0" fontId="30" fillId="0" borderId="59" xfId="79" applyFont="1" applyBorder="1" applyAlignment="1" applyProtection="1">
      <alignment horizontal="center" vertical="center" wrapText="1"/>
    </xf>
    <xf numFmtId="0" fontId="30" fillId="0" borderId="52" xfId="79" applyFont="1" applyBorder="1" applyAlignment="1" applyProtection="1">
      <alignment horizontal="center" vertical="center" wrapText="1"/>
    </xf>
    <xf numFmtId="0" fontId="30" fillId="0" borderId="35" xfId="79" applyFont="1" applyBorder="1" applyAlignment="1" applyProtection="1">
      <alignment horizontal="center" vertical="center"/>
    </xf>
    <xf numFmtId="0" fontId="30" fillId="0" borderId="15" xfId="79" applyFont="1" applyBorder="1" applyAlignment="1" applyProtection="1">
      <alignment horizontal="center" vertical="center" wrapText="1"/>
    </xf>
    <xf numFmtId="0" fontId="30" fillId="0" borderId="20" xfId="79" applyFont="1" applyBorder="1" applyAlignment="1" applyProtection="1">
      <alignment horizontal="center" vertical="center"/>
    </xf>
    <xf numFmtId="0" fontId="0" fillId="0" borderId="35" xfId="0" applyBorder="1"/>
    <xf numFmtId="0" fontId="30" fillId="0" borderId="26" xfId="79" applyFont="1" applyBorder="1" applyAlignment="1" applyProtection="1">
      <alignment horizontal="center" vertical="center" wrapText="1"/>
    </xf>
    <xf numFmtId="0" fontId="30" fillId="0" borderId="35" xfId="79" applyFont="1" applyBorder="1" applyAlignment="1" applyProtection="1">
      <alignment horizontal="center" vertical="center" wrapText="1"/>
    </xf>
    <xf numFmtId="0" fontId="30" fillId="0" borderId="18" xfId="79" applyFont="1" applyBorder="1" applyAlignment="1" applyProtection="1">
      <alignment horizontal="center" vertical="center"/>
    </xf>
    <xf numFmtId="0" fontId="30" fillId="0" borderId="19" xfId="79" applyFont="1" applyBorder="1" applyAlignment="1" applyProtection="1">
      <alignment horizontal="center" vertical="center"/>
    </xf>
    <xf numFmtId="0" fontId="30" fillId="0" borderId="48" xfId="79" applyFont="1" applyBorder="1" applyAlignment="1" applyProtection="1">
      <alignment horizontal="center" vertical="center"/>
    </xf>
    <xf numFmtId="0" fontId="30" fillId="0" borderId="52" xfId="79" applyFont="1" applyBorder="1" applyAlignment="1" applyProtection="1">
      <alignment vertical="center" wrapText="1"/>
    </xf>
    <xf numFmtId="0" fontId="30" fillId="0" borderId="35" xfId="79" applyFont="1" applyBorder="1" applyAlignment="1" applyProtection="1">
      <alignment vertical="center"/>
    </xf>
    <xf numFmtId="1" fontId="30" fillId="0" borderId="79" xfId="61" applyNumberFormat="1" applyFont="1" applyBorder="1" applyAlignment="1" applyProtection="1">
      <alignment horizontal="center" vertical="center" wrapText="1"/>
    </xf>
    <xf numFmtId="1" fontId="30" fillId="0" borderId="80" xfId="61" applyNumberFormat="1" applyFont="1" applyBorder="1" applyAlignment="1" applyProtection="1">
      <alignment horizontal="center" vertical="center" wrapText="1"/>
    </xf>
    <xf numFmtId="1" fontId="30" fillId="0" borderId="72" xfId="61" applyNumberFormat="1" applyFont="1" applyBorder="1" applyAlignment="1" applyProtection="1">
      <alignment horizontal="center" vertical="center" wrapText="1"/>
    </xf>
    <xf numFmtId="1" fontId="30" fillId="0" borderId="45" xfId="61" applyNumberFormat="1" applyFont="1" applyBorder="1" applyAlignment="1" applyProtection="1">
      <alignment horizontal="center" vertical="center" wrapText="1"/>
    </xf>
    <xf numFmtId="1" fontId="30" fillId="0" borderId="0" xfId="61" applyNumberFormat="1" applyFont="1" applyBorder="1" applyAlignment="1" applyProtection="1">
      <alignment horizontal="center" vertical="center" wrapText="1"/>
    </xf>
    <xf numFmtId="1" fontId="30" fillId="0" borderId="17" xfId="61" applyNumberFormat="1" applyFont="1" applyBorder="1" applyAlignment="1" applyProtection="1">
      <alignment horizontal="center" vertical="center" wrapText="1"/>
    </xf>
    <xf numFmtId="1" fontId="30" fillId="0" borderId="76" xfId="61" applyNumberFormat="1" applyFont="1" applyBorder="1" applyAlignment="1" applyProtection="1">
      <alignment horizontal="center" vertical="center" wrapText="1"/>
    </xf>
    <xf numFmtId="1" fontId="30" fillId="0" borderId="77" xfId="61" applyNumberFormat="1" applyFont="1" applyBorder="1" applyAlignment="1" applyProtection="1">
      <alignment horizontal="center" vertical="center" wrapText="1"/>
    </xf>
    <xf numFmtId="1" fontId="30" fillId="0" borderId="74" xfId="61" applyNumberFormat="1" applyFont="1" applyBorder="1" applyAlignment="1" applyProtection="1">
      <alignment horizontal="center" vertical="center" wrapText="1"/>
    </xf>
    <xf numFmtId="1" fontId="30" fillId="0" borderId="73" xfId="61" applyNumberFormat="1" applyFont="1" applyBorder="1" applyAlignment="1" applyProtection="1">
      <alignment horizontal="center" vertical="center" wrapText="1"/>
    </xf>
    <xf numFmtId="0" fontId="0" fillId="0" borderId="69" xfId="0" applyBorder="1" applyAlignment="1">
      <alignment horizontal="center" vertical="center" wrapText="1"/>
    </xf>
    <xf numFmtId="0" fontId="0" fillId="0" borderId="75" xfId="0" applyBorder="1" applyAlignment="1">
      <alignment horizontal="center" vertical="center" wrapText="1"/>
    </xf>
    <xf numFmtId="0" fontId="30" fillId="0" borderId="10" xfId="0" quotePrefix="1" applyFont="1" applyFill="1" applyBorder="1" applyAlignment="1">
      <alignment horizontal="center" wrapText="1"/>
    </xf>
    <xf numFmtId="0" fontId="30" fillId="0" borderId="11" xfId="0" quotePrefix="1" applyFont="1" applyFill="1" applyBorder="1" applyAlignment="1">
      <alignment horizontal="center" wrapText="1"/>
    </xf>
    <xf numFmtId="0" fontId="30" fillId="0" borderId="12" xfId="0" quotePrefix="1" applyFont="1" applyFill="1" applyBorder="1" applyAlignment="1">
      <alignment horizontal="center" wrapText="1"/>
    </xf>
    <xf numFmtId="0" fontId="0" fillId="0" borderId="13" xfId="0" quotePrefix="1" applyFill="1" applyBorder="1" applyAlignment="1">
      <alignment horizontal="center"/>
    </xf>
    <xf numFmtId="0" fontId="0" fillId="0" borderId="14" xfId="0" applyFill="1" applyBorder="1"/>
    <xf numFmtId="0" fontId="0" fillId="0" borderId="15" xfId="0" applyFill="1" applyBorder="1"/>
    <xf numFmtId="0" fontId="3" fillId="0" borderId="13" xfId="0" quotePrefix="1" applyFont="1" applyFill="1" applyBorder="1" applyAlignment="1">
      <alignment horizontal="center" wrapText="1"/>
    </xf>
    <xf numFmtId="0" fontId="3" fillId="0" borderId="14" xfId="0" quotePrefix="1" applyFont="1" applyFill="1" applyBorder="1" applyAlignment="1">
      <alignment horizontal="center" wrapText="1"/>
    </xf>
    <xf numFmtId="0" fontId="3" fillId="0" borderId="15" xfId="0" quotePrefix="1" applyFont="1" applyFill="1" applyBorder="1" applyAlignment="1">
      <alignment horizontal="center" wrapText="1"/>
    </xf>
    <xf numFmtId="0" fontId="32" fillId="0" borderId="54" xfId="67" applyFont="1" applyBorder="1" applyAlignment="1">
      <alignment horizontal="center" textRotation="90" wrapText="1"/>
    </xf>
    <xf numFmtId="0" fontId="32" fillId="0" borderId="27" xfId="67" applyFont="1" applyBorder="1" applyAlignment="1">
      <alignment horizontal="center" textRotation="90" wrapText="1"/>
    </xf>
    <xf numFmtId="0" fontId="32" fillId="0" borderId="37" xfId="67" applyFont="1" applyBorder="1" applyAlignment="1">
      <alignment horizontal="center" textRotation="90" wrapText="1"/>
    </xf>
    <xf numFmtId="0" fontId="32" fillId="0" borderId="0" xfId="0" applyFont="1" applyBorder="1" applyAlignment="1" applyProtection="1">
      <alignment horizontal="left" wrapText="1"/>
    </xf>
    <xf numFmtId="0" fontId="32" fillId="0" borderId="0" xfId="0" applyFont="1" applyBorder="1" applyAlignment="1">
      <alignment horizontal="left" wrapText="1"/>
    </xf>
    <xf numFmtId="0" fontId="33" fillId="0" borderId="54" xfId="67" applyFont="1" applyBorder="1" applyAlignment="1">
      <alignment horizontal="center" textRotation="90" wrapText="1"/>
    </xf>
    <xf numFmtId="0" fontId="33" fillId="0" borderId="27" xfId="67" applyFont="1" applyBorder="1" applyAlignment="1">
      <alignment horizontal="center" textRotation="90" wrapText="1"/>
    </xf>
    <xf numFmtId="0" fontId="33" fillId="0" borderId="37" xfId="67" applyFont="1" applyBorder="1" applyAlignment="1">
      <alignment horizontal="center" textRotation="90" wrapText="1"/>
    </xf>
    <xf numFmtId="0" fontId="32" fillId="11" borderId="10" xfId="67" applyFont="1" applyFill="1" applyBorder="1" applyAlignment="1">
      <alignment horizontal="center"/>
    </xf>
    <xf numFmtId="0" fontId="32" fillId="11" borderId="11" xfId="67" applyFont="1" applyFill="1" applyBorder="1" applyAlignment="1">
      <alignment horizontal="center"/>
    </xf>
    <xf numFmtId="0" fontId="32" fillId="11" borderId="12" xfId="67" applyFont="1" applyFill="1" applyBorder="1" applyAlignment="1">
      <alignment horizontal="center"/>
    </xf>
    <xf numFmtId="0" fontId="32" fillId="28" borderId="10" xfId="67" applyFont="1" applyFill="1" applyBorder="1" applyAlignment="1">
      <alignment horizontal="center"/>
    </xf>
    <xf numFmtId="0" fontId="32" fillId="28" borderId="11" xfId="67" applyFont="1" applyFill="1" applyBorder="1" applyAlignment="1">
      <alignment horizontal="center"/>
    </xf>
    <xf numFmtId="0" fontId="32" fillId="28" borderId="12" xfId="67" applyFont="1" applyFill="1" applyBorder="1" applyAlignment="1">
      <alignment horizontal="center"/>
    </xf>
    <xf numFmtId="0" fontId="32" fillId="0" borderId="10" xfId="67" applyFont="1" applyBorder="1" applyAlignment="1">
      <alignment horizontal="center"/>
    </xf>
    <xf numFmtId="0" fontId="32" fillId="0" borderId="11" xfId="67" applyFont="1" applyBorder="1" applyAlignment="1">
      <alignment horizontal="center"/>
    </xf>
    <xf numFmtId="0" fontId="32" fillId="0" borderId="12" xfId="67" applyFont="1" applyBorder="1" applyAlignment="1">
      <alignment horizontal="center"/>
    </xf>
    <xf numFmtId="0" fontId="67" fillId="0" borderId="79" xfId="0" applyFont="1" applyBorder="1" applyAlignment="1">
      <alignment horizontal="left" vertical="center"/>
    </xf>
    <xf numFmtId="0" fontId="67" fillId="0" borderId="80" xfId="0" applyFont="1" applyBorder="1" applyAlignment="1">
      <alignment horizontal="left" vertical="center"/>
    </xf>
    <xf numFmtId="0" fontId="67" fillId="0" borderId="81" xfId="0" applyFont="1" applyBorder="1" applyAlignment="1">
      <alignment horizontal="left" vertical="center"/>
    </xf>
    <xf numFmtId="0" fontId="67" fillId="0" borderId="76" xfId="0" applyFont="1" applyBorder="1" applyAlignment="1">
      <alignment horizontal="left" vertical="center"/>
    </xf>
    <xf numFmtId="0" fontId="67" fillId="0" borderId="77" xfId="0" applyFont="1" applyBorder="1" applyAlignment="1">
      <alignment horizontal="left" vertical="center"/>
    </xf>
    <xf numFmtId="0" fontId="67" fillId="0" borderId="78" xfId="0" applyFont="1" applyBorder="1" applyAlignment="1">
      <alignment horizontal="left" vertical="center"/>
    </xf>
    <xf numFmtId="0" fontId="33" fillId="28" borderId="84" xfId="0" applyFont="1" applyFill="1" applyBorder="1" applyAlignment="1" applyProtection="1">
      <alignment horizontal="center" vertical="center"/>
    </xf>
    <xf numFmtId="0" fontId="3" fillId="0" borderId="82" xfId="0" applyFont="1" applyBorder="1" applyAlignment="1">
      <alignment horizontal="center" vertical="center"/>
    </xf>
    <xf numFmtId="0" fontId="3" fillId="0" borderId="67" xfId="0" applyFont="1" applyBorder="1" applyAlignment="1">
      <alignment horizontal="center" vertical="center"/>
    </xf>
    <xf numFmtId="0" fontId="33" fillId="11" borderId="84" xfId="0" applyFont="1" applyFill="1" applyBorder="1" applyAlignment="1" applyProtection="1">
      <alignment horizontal="center" vertical="center"/>
    </xf>
    <xf numFmtId="0" fontId="33" fillId="11" borderId="82" xfId="0" applyFont="1" applyFill="1" applyBorder="1" applyAlignment="1" applyProtection="1">
      <alignment horizontal="center" vertical="center"/>
    </xf>
    <xf numFmtId="0" fontId="33" fillId="11" borderId="67" xfId="0" applyFont="1" applyFill="1" applyBorder="1" applyAlignment="1" applyProtection="1">
      <alignment horizontal="center" vertical="center"/>
    </xf>
    <xf numFmtId="0" fontId="33" fillId="29" borderId="84" xfId="0" applyFont="1" applyFill="1" applyBorder="1" applyAlignment="1" applyProtection="1">
      <alignment horizontal="center" vertical="center"/>
    </xf>
    <xf numFmtId="0" fontId="33" fillId="29" borderId="82" xfId="0" applyFont="1" applyFill="1" applyBorder="1" applyAlignment="1" applyProtection="1">
      <alignment horizontal="center" vertical="center"/>
    </xf>
    <xf numFmtId="0" fontId="33" fillId="29" borderId="67" xfId="0" applyFont="1" applyFill="1" applyBorder="1" applyAlignment="1" applyProtection="1">
      <alignment horizontal="center" vertical="center"/>
    </xf>
    <xf numFmtId="0" fontId="33" fillId="0" borderId="84" xfId="0" applyFont="1" applyBorder="1" applyAlignment="1" applyProtection="1">
      <alignment horizontal="center" vertical="center"/>
    </xf>
    <xf numFmtId="0" fontId="33" fillId="0" borderId="82" xfId="0" applyFont="1" applyBorder="1" applyAlignment="1" applyProtection="1">
      <alignment horizontal="center" vertical="center"/>
    </xf>
    <xf numFmtId="0" fontId="33" fillId="0" borderId="67" xfId="0" applyFont="1" applyBorder="1" applyAlignment="1" applyProtection="1">
      <alignment horizontal="center" vertical="center"/>
    </xf>
    <xf numFmtId="0" fontId="33" fillId="0" borderId="84" xfId="0" applyFont="1" applyBorder="1" applyAlignment="1" applyProtection="1">
      <alignment horizontal="center" vertical="center" wrapText="1"/>
    </xf>
    <xf numFmtId="0" fontId="33" fillId="0" borderId="82" xfId="0" applyFont="1" applyBorder="1" applyAlignment="1" applyProtection="1">
      <alignment horizontal="center" vertical="center" wrapText="1"/>
    </xf>
    <xf numFmtId="0" fontId="33" fillId="0" borderId="67" xfId="0" applyFont="1" applyBorder="1" applyAlignment="1" applyProtection="1">
      <alignment horizontal="center" vertical="center" wrapText="1"/>
    </xf>
    <xf numFmtId="175" fontId="31" fillId="22" borderId="70" xfId="0" applyNumberFormat="1" applyFont="1" applyFill="1" applyBorder="1" applyAlignment="1">
      <alignment horizontal="right" vertical="center"/>
    </xf>
    <xf numFmtId="175" fontId="31" fillId="22" borderId="25" xfId="0" applyNumberFormat="1" applyFont="1" applyFill="1" applyBorder="1" applyAlignment="1">
      <alignment horizontal="right" vertical="center"/>
    </xf>
    <xf numFmtId="175" fontId="31" fillId="22" borderId="65" xfId="0" applyNumberFormat="1" applyFont="1" applyFill="1" applyBorder="1" applyAlignment="1">
      <alignment horizontal="right" vertical="center"/>
    </xf>
    <xf numFmtId="0" fontId="31" fillId="0" borderId="10" xfId="0" applyFont="1" applyFill="1" applyBorder="1" applyAlignment="1" applyProtection="1">
      <alignment horizontal="left" vertical="center"/>
    </xf>
    <xf numFmtId="0" fontId="31" fillId="0" borderId="59" xfId="0" applyFont="1" applyFill="1" applyBorder="1" applyAlignment="1" applyProtection="1">
      <alignment horizontal="left" vertical="center"/>
    </xf>
    <xf numFmtId="0" fontId="31" fillId="0" borderId="40" xfId="0" applyFont="1" applyFill="1" applyBorder="1" applyAlignment="1" applyProtection="1">
      <alignment horizontal="left" vertical="center"/>
    </xf>
    <xf numFmtId="0" fontId="31" fillId="0" borderId="41" xfId="0" applyFont="1" applyFill="1" applyBorder="1" applyAlignment="1" applyProtection="1">
      <alignment horizontal="left" vertical="center"/>
    </xf>
    <xf numFmtId="0" fontId="67" fillId="0" borderId="52" xfId="0" applyFont="1" applyBorder="1" applyAlignment="1">
      <alignment horizontal="center" vertical="center" wrapText="1"/>
    </xf>
    <xf numFmtId="0" fontId="67" fillId="0" borderId="26" xfId="0" applyFont="1" applyBorder="1" applyAlignment="1">
      <alignment horizontal="center" vertical="center" wrapText="1"/>
    </xf>
    <xf numFmtId="0" fontId="31" fillId="0" borderId="37" xfId="0" applyFont="1" applyFill="1" applyBorder="1" applyAlignment="1" applyProtection="1">
      <alignment horizontal="left" vertical="center"/>
    </xf>
    <xf numFmtId="0" fontId="31" fillId="0" borderId="36" xfId="0" applyFont="1" applyFill="1" applyBorder="1" applyAlignment="1" applyProtection="1">
      <alignment horizontal="left" vertical="center"/>
    </xf>
    <xf numFmtId="175" fontId="40" fillId="19" borderId="22" xfId="0" applyNumberFormat="1" applyFont="1" applyFill="1" applyBorder="1" applyAlignment="1" applyProtection="1">
      <alignment horizontal="right" vertical="center"/>
      <protection locked="0"/>
    </xf>
    <xf numFmtId="175" fontId="40" fillId="19" borderId="35" xfId="0" applyNumberFormat="1" applyFont="1" applyFill="1" applyBorder="1" applyAlignment="1" applyProtection="1">
      <alignment horizontal="right" vertical="center"/>
      <protection locked="0"/>
    </xf>
    <xf numFmtId="175" fontId="31" fillId="22" borderId="21" xfId="0" applyNumberFormat="1" applyFont="1" applyFill="1" applyBorder="1" applyAlignment="1">
      <alignment horizontal="right" vertical="center"/>
    </xf>
    <xf numFmtId="0" fontId="31" fillId="0" borderId="30" xfId="0" applyFont="1" applyFill="1" applyBorder="1" applyAlignment="1" applyProtection="1">
      <alignment horizontal="left" vertical="center"/>
    </xf>
    <xf numFmtId="0" fontId="31" fillId="0" borderId="38" xfId="0" applyFont="1" applyFill="1" applyBorder="1" applyAlignment="1" applyProtection="1">
      <alignment horizontal="left" vertical="center"/>
    </xf>
    <xf numFmtId="0" fontId="67" fillId="0" borderId="35" xfId="0" applyFont="1" applyBorder="1" applyAlignment="1">
      <alignment horizontal="center" vertical="center" wrapText="1"/>
    </xf>
    <xf numFmtId="0" fontId="27" fillId="0" borderId="18" xfId="0" applyFont="1" applyBorder="1" applyAlignment="1">
      <alignment horizontal="left" vertical="center"/>
    </xf>
    <xf numFmtId="0" fontId="27" fillId="0" borderId="48" xfId="0" applyFont="1" applyBorder="1" applyAlignment="1">
      <alignment horizontal="left" vertical="center"/>
    </xf>
    <xf numFmtId="175" fontId="40" fillId="19" borderId="52" xfId="0" applyNumberFormat="1" applyFont="1" applyFill="1" applyBorder="1" applyAlignment="1" applyProtection="1">
      <alignment horizontal="right" vertical="center"/>
      <protection locked="0"/>
    </xf>
    <xf numFmtId="175" fontId="40" fillId="19" borderId="26" xfId="0" applyNumberFormat="1" applyFont="1" applyFill="1" applyBorder="1" applyAlignment="1" applyProtection="1">
      <alignment horizontal="right" vertical="center"/>
      <protection locked="0"/>
    </xf>
    <xf numFmtId="0" fontId="42" fillId="0" borderId="84" xfId="0" applyFont="1" applyBorder="1" applyAlignment="1" applyProtection="1">
      <alignment horizontal="left" vertical="center" wrapText="1"/>
    </xf>
    <xf numFmtId="0" fontId="42" fillId="0" borderId="82" xfId="0" applyFont="1" applyBorder="1" applyAlignment="1" applyProtection="1">
      <alignment horizontal="left" vertical="center" wrapText="1"/>
    </xf>
    <xf numFmtId="0" fontId="42" fillId="0" borderId="67" xfId="0" applyFont="1" applyBorder="1" applyAlignment="1" applyProtection="1">
      <alignment horizontal="left" vertical="center" wrapText="1"/>
    </xf>
    <xf numFmtId="0" fontId="67" fillId="0" borderId="35" xfId="0" applyFont="1" applyBorder="1" applyAlignment="1">
      <alignment horizontal="center" vertical="center"/>
    </xf>
    <xf numFmtId="0" fontId="67" fillId="0" borderId="29" xfId="0" applyFont="1" applyBorder="1" applyAlignment="1">
      <alignment horizontal="center" vertical="center"/>
    </xf>
    <xf numFmtId="0" fontId="67" fillId="0" borderId="52" xfId="0" applyFont="1" applyBorder="1" applyAlignment="1">
      <alignment horizontal="center" vertical="center"/>
    </xf>
    <xf numFmtId="0" fontId="31" fillId="0" borderId="30"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54" xfId="0" applyFont="1" applyFill="1" applyBorder="1" applyAlignment="1" applyProtection="1">
      <alignment horizontal="left" vertical="center"/>
    </xf>
    <xf numFmtId="0" fontId="31" fillId="0" borderId="53" xfId="0" applyFont="1" applyFill="1" applyBorder="1" applyAlignment="1" applyProtection="1">
      <alignment horizontal="left" vertical="center"/>
    </xf>
    <xf numFmtId="0" fontId="67" fillId="0" borderId="55" xfId="0" applyFont="1" applyBorder="1" applyAlignment="1">
      <alignment horizontal="center" vertical="center"/>
    </xf>
    <xf numFmtId="0" fontId="67" fillId="0" borderId="39" xfId="0" applyFont="1" applyBorder="1" applyAlignment="1">
      <alignment horizontal="center" vertical="center"/>
    </xf>
    <xf numFmtId="0" fontId="31" fillId="0" borderId="56" xfId="0" applyFont="1" applyFill="1" applyBorder="1" applyAlignment="1" applyProtection="1">
      <alignment horizontal="left" vertical="center"/>
    </xf>
    <xf numFmtId="0" fontId="31" fillId="0" borderId="57" xfId="0" applyFont="1" applyFill="1" applyBorder="1" applyAlignment="1" applyProtection="1">
      <alignment horizontal="left" vertical="center"/>
    </xf>
    <xf numFmtId="0" fontId="67" fillId="0" borderId="22" xfId="0" applyFont="1" applyBorder="1" applyAlignment="1">
      <alignment horizontal="center" vertical="center"/>
    </xf>
    <xf numFmtId="0" fontId="67" fillId="0" borderId="26" xfId="0" applyFont="1" applyBorder="1" applyAlignment="1">
      <alignment horizontal="center" vertical="center"/>
    </xf>
    <xf numFmtId="0" fontId="42" fillId="0" borderId="21" xfId="0" applyFont="1" applyBorder="1" applyAlignment="1">
      <alignment horizontal="center" vertical="center"/>
    </xf>
    <xf numFmtId="0" fontId="42" fillId="0" borderId="31" xfId="0" applyFont="1" applyBorder="1" applyAlignment="1">
      <alignment horizontal="center" vertical="center"/>
    </xf>
    <xf numFmtId="0" fontId="42" fillId="0" borderId="84" xfId="0" applyFont="1" applyBorder="1" applyAlignment="1">
      <alignment horizontal="left" vertical="center"/>
    </xf>
    <xf numFmtId="0" fontId="42" fillId="0" borderId="82" xfId="0" applyFont="1" applyBorder="1" applyAlignment="1">
      <alignment horizontal="left" vertical="center"/>
    </xf>
    <xf numFmtId="0" fontId="42" fillId="0" borderId="67" xfId="0" applyFont="1" applyBorder="1" applyAlignment="1">
      <alignment horizontal="left" vertical="center"/>
    </xf>
    <xf numFmtId="0" fontId="42" fillId="0" borderId="84" xfId="0" applyFont="1" applyBorder="1" applyAlignment="1" applyProtection="1">
      <alignment horizontal="center" vertical="center"/>
    </xf>
    <xf numFmtId="0" fontId="42" fillId="0" borderId="82" xfId="0" applyFont="1" applyBorder="1" applyAlignment="1" applyProtection="1">
      <alignment horizontal="center" vertical="center"/>
    </xf>
    <xf numFmtId="0" fontId="42" fillId="0" borderId="67" xfId="0" applyFont="1" applyBorder="1" applyAlignment="1" applyProtection="1">
      <alignment horizontal="center" vertical="center"/>
    </xf>
    <xf numFmtId="0" fontId="31" fillId="0" borderId="49" xfId="0" applyFont="1" applyBorder="1" applyAlignment="1" applyProtection="1">
      <alignment horizontal="left" vertical="center"/>
    </xf>
    <xf numFmtId="0" fontId="31" fillId="0" borderId="50" xfId="0" applyFont="1" applyBorder="1" applyAlignment="1" applyProtection="1">
      <alignment horizontal="left" vertical="center"/>
    </xf>
    <xf numFmtId="0" fontId="31" fillId="0" borderId="51" xfId="0" applyFont="1" applyBorder="1" applyAlignment="1" applyProtection="1">
      <alignment horizontal="left" vertical="center"/>
    </xf>
    <xf numFmtId="0" fontId="31" fillId="0" borderId="85" xfId="0" applyFont="1" applyBorder="1" applyAlignment="1" applyProtection="1">
      <alignment horizontal="left" vertical="center"/>
    </xf>
    <xf numFmtId="0" fontId="31" fillId="0" borderId="86" xfId="0" applyFont="1" applyBorder="1" applyAlignment="1" applyProtection="1">
      <alignment horizontal="left" vertical="center"/>
    </xf>
    <xf numFmtId="0" fontId="31" fillId="0" borderId="64" xfId="0" applyFont="1" applyBorder="1" applyAlignment="1" applyProtection="1">
      <alignment horizontal="left" vertical="center"/>
    </xf>
    <xf numFmtId="0" fontId="67" fillId="0" borderId="84" xfId="0" applyFont="1" applyBorder="1" applyAlignment="1">
      <alignment horizontal="left" vertical="center"/>
    </xf>
    <xf numFmtId="0" fontId="67" fillId="0" borderId="82" xfId="0" applyFont="1" applyBorder="1" applyAlignment="1">
      <alignment horizontal="left" vertical="center"/>
    </xf>
    <xf numFmtId="0" fontId="67" fillId="0" borderId="67" xfId="0" applyFont="1" applyBorder="1" applyAlignment="1">
      <alignment horizontal="left" vertical="center"/>
    </xf>
    <xf numFmtId="0" fontId="57" fillId="0" borderId="79" xfId="0" applyFont="1" applyBorder="1" applyAlignment="1" applyProtection="1">
      <alignment horizontal="left" vertical="center"/>
    </xf>
    <xf numFmtId="0" fontId="57" fillId="0" borderId="80" xfId="0" applyFont="1" applyBorder="1" applyAlignment="1" applyProtection="1">
      <alignment horizontal="left" vertical="center"/>
    </xf>
    <xf numFmtId="0" fontId="57" fillId="0" borderId="81" xfId="0" applyFont="1" applyBorder="1" applyAlignment="1" applyProtection="1">
      <alignment horizontal="left" vertical="center"/>
    </xf>
    <xf numFmtId="0" fontId="57" fillId="0" borderId="76" xfId="0" applyFont="1" applyBorder="1" applyAlignment="1" applyProtection="1">
      <alignment horizontal="left" vertical="center"/>
    </xf>
    <xf numFmtId="0" fontId="57" fillId="0" borderId="77" xfId="0" applyFont="1" applyBorder="1" applyAlignment="1" applyProtection="1">
      <alignment horizontal="left" vertical="center"/>
    </xf>
    <xf numFmtId="0" fontId="57" fillId="0" borderId="78" xfId="0" applyFont="1" applyBorder="1" applyAlignment="1" applyProtection="1">
      <alignment horizontal="left" vertical="center"/>
    </xf>
    <xf numFmtId="0" fontId="31" fillId="0" borderId="49" xfId="0" applyFont="1" applyBorder="1" applyAlignment="1" applyProtection="1">
      <alignment horizontal="left" vertical="center" wrapText="1"/>
    </xf>
    <xf numFmtId="0" fontId="31" fillId="0" borderId="50" xfId="0" applyFont="1" applyBorder="1" applyAlignment="1" applyProtection="1">
      <alignment horizontal="left" vertical="center" wrapText="1"/>
    </xf>
    <xf numFmtId="0" fontId="31" fillId="0" borderId="51" xfId="0" applyFont="1" applyBorder="1" applyAlignment="1" applyProtection="1">
      <alignment horizontal="left" vertical="center" wrapText="1"/>
    </xf>
    <xf numFmtId="0" fontId="31" fillId="0" borderId="84" xfId="0" applyFont="1" applyBorder="1" applyAlignment="1" applyProtection="1">
      <alignment horizontal="left" vertical="center" wrapText="1"/>
    </xf>
    <xf numFmtId="0" fontId="31" fillId="0" borderId="67" xfId="0" applyFont="1" applyBorder="1" applyAlignment="1" applyProtection="1">
      <alignment horizontal="left" vertical="center" wrapText="1"/>
    </xf>
    <xf numFmtId="0" fontId="69" fillId="0" borderId="49" xfId="0" applyFont="1" applyBorder="1" applyAlignment="1" applyProtection="1">
      <alignment horizontal="left" vertical="center" wrapText="1"/>
    </xf>
    <xf numFmtId="0" fontId="69" fillId="0" borderId="50" xfId="0" applyFont="1" applyBorder="1" applyAlignment="1" applyProtection="1">
      <alignment horizontal="left" vertical="center" wrapText="1"/>
    </xf>
    <xf numFmtId="0" fontId="69" fillId="0" borderId="51" xfId="0" applyFont="1" applyBorder="1" applyAlignment="1" applyProtection="1">
      <alignment horizontal="left" vertical="center" wrapText="1"/>
    </xf>
    <xf numFmtId="0" fontId="31" fillId="0" borderId="58" xfId="0" applyFont="1" applyBorder="1" applyAlignment="1">
      <alignment horizontal="left" vertical="center" indent="1"/>
    </xf>
    <xf numFmtId="0" fontId="31" fillId="0" borderId="59" xfId="0" applyFont="1" applyBorder="1" applyAlignment="1">
      <alignment horizontal="left" vertical="center" indent="1"/>
    </xf>
    <xf numFmtId="0" fontId="58" fillId="11" borderId="84" xfId="0" applyFont="1" applyFill="1" applyBorder="1" applyAlignment="1">
      <alignment horizontal="left" vertical="center" indent="1"/>
    </xf>
    <xf numFmtId="0" fontId="58" fillId="11" borderId="82" xfId="0" applyFont="1" applyFill="1" applyBorder="1" applyAlignment="1">
      <alignment horizontal="left" vertical="center" indent="1"/>
    </xf>
    <xf numFmtId="0" fontId="42" fillId="0" borderId="49" xfId="0" applyFont="1" applyBorder="1" applyAlignment="1">
      <alignment horizontal="left" vertical="center"/>
    </xf>
    <xf numFmtId="0" fontId="42" fillId="0" borderId="51" xfId="0" applyFont="1" applyBorder="1" applyAlignment="1">
      <alignment horizontal="left" vertical="center"/>
    </xf>
    <xf numFmtId="0" fontId="31" fillId="0" borderId="29" xfId="0" applyFont="1" applyBorder="1" applyAlignment="1">
      <alignment horizontal="left" vertical="center" indent="1"/>
    </xf>
    <xf numFmtId="0" fontId="31" fillId="0" borderId="38" xfId="0" applyFont="1" applyBorder="1" applyAlignment="1">
      <alignment horizontal="left" vertical="center" indent="1"/>
    </xf>
    <xf numFmtId="0" fontId="42" fillId="0" borderId="58" xfId="0" applyFont="1" applyBorder="1" applyAlignment="1">
      <alignment horizontal="left" vertical="center"/>
    </xf>
    <xf numFmtId="0" fontId="42" fillId="0" borderId="59" xfId="0" applyFont="1" applyBorder="1" applyAlignment="1">
      <alignment horizontal="left" vertical="center"/>
    </xf>
    <xf numFmtId="0" fontId="42" fillId="0" borderId="22" xfId="0" applyFont="1" applyBorder="1" applyAlignment="1">
      <alignment horizontal="center" vertical="center"/>
    </xf>
    <xf numFmtId="0" fontId="42" fillId="0" borderId="26" xfId="0" applyFont="1" applyBorder="1" applyAlignment="1">
      <alignment horizontal="center" vertical="center"/>
    </xf>
    <xf numFmtId="0" fontId="42" fillId="0" borderId="32" xfId="0" applyFont="1" applyBorder="1" applyAlignment="1">
      <alignment horizontal="center" vertical="center"/>
    </xf>
    <xf numFmtId="0" fontId="58" fillId="28" borderId="84" xfId="0" applyFont="1" applyFill="1" applyBorder="1" applyAlignment="1">
      <alignment horizontal="left" vertical="center" indent="1"/>
    </xf>
    <xf numFmtId="0" fontId="58" fillId="28" borderId="82" xfId="0" applyFont="1" applyFill="1" applyBorder="1" applyAlignment="1">
      <alignment horizontal="left" vertical="center" indent="1"/>
    </xf>
    <xf numFmtId="0" fontId="67" fillId="0" borderId="45" xfId="0" applyFont="1" applyBorder="1" applyAlignment="1">
      <alignment horizontal="left" vertical="center"/>
    </xf>
    <xf numFmtId="0" fontId="67" fillId="0" borderId="46" xfId="0" applyFont="1" applyBorder="1" applyAlignment="1">
      <alignment horizontal="left" vertical="center"/>
    </xf>
    <xf numFmtId="0" fontId="42" fillId="28" borderId="76" xfId="0" applyFont="1" applyFill="1" applyBorder="1" applyAlignment="1" applyProtection="1">
      <alignment horizontal="center" vertical="center" wrapText="1"/>
    </xf>
    <xf numFmtId="0" fontId="42" fillId="28" borderId="78" xfId="0" applyFont="1" applyFill="1" applyBorder="1" applyAlignment="1" applyProtection="1">
      <alignment horizontal="center" vertical="center" wrapText="1"/>
    </xf>
    <xf numFmtId="0" fontId="42" fillId="0" borderId="22" xfId="0" applyFont="1" applyBorder="1" applyAlignment="1">
      <alignment horizontal="center" vertical="center" wrapText="1"/>
    </xf>
    <xf numFmtId="0" fontId="42" fillId="0" borderId="32" xfId="0" applyFont="1" applyBorder="1" applyAlignment="1">
      <alignment horizontal="center" vertical="center" wrapText="1"/>
    </xf>
    <xf numFmtId="0" fontId="32" fillId="0" borderId="58" xfId="0" applyFont="1" applyBorder="1" applyAlignment="1" applyProtection="1">
      <alignment horizontal="left" vertical="center" indent="1"/>
    </xf>
    <xf numFmtId="0" fontId="32" fillId="0" borderId="59" xfId="0" applyFont="1" applyBorder="1" applyAlignment="1" applyProtection="1">
      <alignment horizontal="left" vertical="center" indent="1"/>
    </xf>
    <xf numFmtId="0" fontId="31" fillId="0" borderId="84" xfId="0" applyFont="1" applyBorder="1" applyAlignment="1">
      <alignment horizontal="left" vertical="center"/>
    </xf>
    <xf numFmtId="0" fontId="31" fillId="0" borderId="67" xfId="0" applyFont="1" applyBorder="1" applyAlignment="1">
      <alignment horizontal="left" vertical="center"/>
    </xf>
    <xf numFmtId="0" fontId="0" fillId="0" borderId="82" xfId="0" applyBorder="1" applyAlignment="1">
      <alignment horizontal="left" vertical="center"/>
    </xf>
    <xf numFmtId="0" fontId="42" fillId="28" borderId="84" xfId="0" applyFont="1" applyFill="1" applyBorder="1" applyAlignment="1">
      <alignment horizontal="left" vertical="center" indent="1"/>
    </xf>
    <xf numFmtId="0" fontId="42" fillId="28" borderId="67" xfId="0" applyFont="1" applyFill="1" applyBorder="1" applyAlignment="1">
      <alignment horizontal="left" vertical="center" indent="1"/>
    </xf>
    <xf numFmtId="0" fontId="58" fillId="0" borderId="84" xfId="0" applyFont="1" applyBorder="1" applyAlignment="1">
      <alignment horizontal="left" vertical="center"/>
    </xf>
    <xf numFmtId="0" fontId="58" fillId="0" borderId="67" xfId="0" applyFont="1" applyBorder="1" applyAlignment="1">
      <alignment horizontal="left" vertical="center"/>
    </xf>
    <xf numFmtId="0" fontId="32" fillId="0" borderId="49" xfId="0" applyFont="1" applyBorder="1" applyAlignment="1" applyProtection="1">
      <alignment horizontal="left" vertical="center" indent="1"/>
    </xf>
    <xf numFmtId="0" fontId="32" fillId="0" borderId="51" xfId="0" applyFont="1" applyBorder="1" applyAlignment="1" applyProtection="1">
      <alignment horizontal="left" vertical="center" indent="1"/>
    </xf>
    <xf numFmtId="0" fontId="33" fillId="0" borderId="84" xfId="0" applyFont="1" applyBorder="1" applyAlignment="1" applyProtection="1">
      <alignment horizontal="left" vertical="center"/>
    </xf>
    <xf numFmtId="0" fontId="33" fillId="0" borderId="67" xfId="0" applyFont="1" applyBorder="1" applyAlignment="1" applyProtection="1">
      <alignment horizontal="left" vertical="center"/>
    </xf>
    <xf numFmtId="0" fontId="32" fillId="0" borderId="85" xfId="0" applyFont="1" applyBorder="1" applyAlignment="1" applyProtection="1">
      <alignment horizontal="left" vertical="center" indent="1"/>
    </xf>
    <xf numFmtId="0" fontId="32" fillId="0" borderId="64" xfId="0" applyFont="1" applyBorder="1" applyAlignment="1" applyProtection="1">
      <alignment horizontal="left" vertical="center" indent="1"/>
    </xf>
    <xf numFmtId="0" fontId="32" fillId="0" borderId="84" xfId="0" applyFont="1" applyBorder="1" applyAlignment="1">
      <alignment horizontal="left" vertical="center" indent="1"/>
    </xf>
    <xf numFmtId="0" fontId="32" fillId="0" borderId="67" xfId="0" applyFont="1" applyBorder="1" applyAlignment="1">
      <alignment horizontal="left" vertical="center" indent="1"/>
    </xf>
    <xf numFmtId="0" fontId="31" fillId="0" borderId="58" xfId="0" applyFont="1" applyBorder="1" applyAlignment="1" applyProtection="1">
      <alignment horizontal="left" vertical="center"/>
    </xf>
    <xf numFmtId="0" fontId="31" fillId="0" borderId="59" xfId="0" applyFont="1" applyBorder="1" applyAlignment="1" applyProtection="1">
      <alignment horizontal="left" vertical="center"/>
    </xf>
    <xf numFmtId="0" fontId="67" fillId="0" borderId="79" xfId="0" applyFont="1" applyFill="1" applyBorder="1" applyAlignment="1">
      <alignment horizontal="left" vertical="center"/>
    </xf>
    <xf numFmtId="0" fontId="67" fillId="0" borderId="81" xfId="0" applyFont="1" applyFill="1" applyBorder="1" applyAlignment="1">
      <alignment horizontal="left" vertical="center"/>
    </xf>
    <xf numFmtId="0" fontId="67" fillId="0" borderId="76" xfId="0" applyFont="1" applyFill="1" applyBorder="1" applyAlignment="1">
      <alignment horizontal="left" vertical="center"/>
    </xf>
    <xf numFmtId="0" fontId="67" fillId="0" borderId="78" xfId="0" applyFont="1" applyFill="1" applyBorder="1" applyAlignment="1">
      <alignment horizontal="left" vertical="center"/>
    </xf>
    <xf numFmtId="176" fontId="43" fillId="19" borderId="45" xfId="0" applyNumberFormat="1" applyFont="1" applyFill="1" applyBorder="1" applyAlignment="1" applyProtection="1">
      <alignment horizontal="center" vertical="center"/>
      <protection locked="0"/>
    </xf>
    <xf numFmtId="176" fontId="43" fillId="19" borderId="17"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46" xfId="0" applyFont="1" applyBorder="1" applyAlignment="1" applyProtection="1">
      <alignment horizontal="left" vertical="center" wrapText="1"/>
    </xf>
    <xf numFmtId="0" fontId="33" fillId="0" borderId="0" xfId="0" applyFont="1" applyFill="1" applyBorder="1" applyAlignment="1">
      <alignment horizontal="center" vertical="center"/>
    </xf>
    <xf numFmtId="0" fontId="33" fillId="0" borderId="46" xfId="0" applyFont="1" applyFill="1" applyBorder="1" applyAlignment="1">
      <alignment horizontal="center" vertical="center"/>
    </xf>
    <xf numFmtId="176" fontId="33" fillId="0" borderId="49" xfId="0" applyNumberFormat="1" applyFont="1" applyBorder="1" applyAlignment="1">
      <alignment horizontal="center" vertical="center" wrapText="1"/>
    </xf>
    <xf numFmtId="176" fontId="33" fillId="0" borderId="87"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65" xfId="0" applyFont="1" applyBorder="1" applyAlignment="1">
      <alignment horizontal="center" vertical="center" wrapText="1"/>
    </xf>
    <xf numFmtId="176" fontId="33" fillId="0" borderId="58" xfId="0" applyNumberFormat="1" applyFont="1" applyBorder="1" applyAlignment="1">
      <alignment horizontal="center" vertical="center"/>
    </xf>
    <xf numFmtId="176" fontId="33" fillId="0" borderId="12" xfId="0" applyNumberFormat="1" applyFont="1" applyBorder="1" applyAlignment="1">
      <alignment horizontal="center" vertical="center"/>
    </xf>
    <xf numFmtId="0" fontId="33" fillId="0" borderId="0"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46" xfId="0" applyFont="1" applyBorder="1" applyAlignment="1">
      <alignment horizontal="left" vertical="center" wrapText="1"/>
    </xf>
    <xf numFmtId="0" fontId="33" fillId="0" borderId="0" xfId="0" applyFont="1" applyBorder="1" applyAlignment="1">
      <alignment horizontal="left" vertical="center" wrapText="1"/>
    </xf>
    <xf numFmtId="0" fontId="33" fillId="0" borderId="46" xfId="0" applyFont="1" applyBorder="1" applyAlignment="1">
      <alignment horizontal="left" vertical="center" wrapText="1"/>
    </xf>
    <xf numFmtId="0" fontId="57" fillId="0" borderId="0" xfId="0" applyFont="1" applyAlignment="1" applyProtection="1">
      <alignment horizontal="left"/>
    </xf>
    <xf numFmtId="0" fontId="31" fillId="0" borderId="49" xfId="65" applyFont="1" applyFill="1" applyBorder="1" applyAlignment="1" applyProtection="1">
      <alignment horizontal="center" vertical="center"/>
    </xf>
    <xf numFmtId="0" fontId="31" fillId="0" borderId="50" xfId="65" applyFont="1" applyFill="1" applyBorder="1" applyAlignment="1" applyProtection="1">
      <alignment horizontal="center" vertical="center"/>
    </xf>
    <xf numFmtId="0" fontId="31" fillId="0" borderId="10" xfId="65" applyFont="1" applyFill="1" applyBorder="1" applyAlignment="1" applyProtection="1">
      <alignment horizontal="center" vertical="center"/>
    </xf>
    <xf numFmtId="0" fontId="31" fillId="0" borderId="11" xfId="65" applyFont="1" applyFill="1" applyBorder="1" applyAlignment="1" applyProtection="1">
      <alignment horizontal="center" vertical="center"/>
    </xf>
    <xf numFmtId="0" fontId="31" fillId="0" borderId="59" xfId="65" applyFont="1" applyFill="1" applyBorder="1" applyAlignment="1" applyProtection="1">
      <alignment horizontal="center" vertical="center"/>
    </xf>
    <xf numFmtId="0" fontId="30" fillId="23" borderId="10" xfId="0" applyFont="1" applyFill="1" applyBorder="1" applyAlignment="1">
      <alignment horizontal="center" vertical="center" wrapText="1"/>
    </xf>
    <xf numFmtId="0" fontId="30" fillId="23" borderId="11" xfId="0" applyFont="1" applyFill="1" applyBorder="1" applyAlignment="1">
      <alignment horizontal="center" vertical="center" wrapText="1"/>
    </xf>
    <xf numFmtId="0" fontId="30" fillId="23" borderId="12"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10"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30" fillId="23" borderId="10" xfId="0" applyFont="1" applyFill="1" applyBorder="1" applyAlignment="1">
      <alignment horizontal="center" wrapText="1"/>
    </xf>
    <xf numFmtId="0" fontId="30" fillId="23" borderId="12" xfId="0" applyFont="1" applyFill="1" applyBorder="1" applyAlignment="1">
      <alignment horizontal="center" wrapText="1"/>
    </xf>
    <xf numFmtId="0" fontId="30" fillId="23" borderId="10" xfId="0" quotePrefix="1" applyFont="1" applyFill="1" applyBorder="1" applyAlignment="1">
      <alignment horizontal="center" wrapText="1"/>
    </xf>
    <xf numFmtId="0" fontId="30" fillId="23" borderId="12" xfId="0" quotePrefix="1" applyFont="1" applyFill="1" applyBorder="1" applyAlignment="1">
      <alignment horizontal="center" wrapText="1"/>
    </xf>
    <xf numFmtId="0" fontId="30" fillId="23" borderId="11" xfId="0" applyFont="1" applyFill="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80" fillId="0" borderId="0" xfId="0" applyFont="1" applyFill="1" applyBorder="1" applyAlignment="1">
      <alignment horizontal="center" vertical="top" wrapText="1"/>
    </xf>
    <xf numFmtId="0" fontId="80" fillId="0" borderId="19" xfId="0" applyFont="1" applyFill="1" applyBorder="1" applyAlignment="1">
      <alignment horizontal="center" vertical="center" wrapText="1"/>
    </xf>
    <xf numFmtId="0" fontId="80" fillId="0" borderId="19" xfId="0" applyFont="1" applyFill="1" applyBorder="1" applyAlignment="1">
      <alignment horizontal="center" vertical="top" wrapText="1"/>
    </xf>
    <xf numFmtId="0" fontId="3"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1" xfId="0" applyBorder="1" applyAlignment="1">
      <alignment horizontal="center" vertical="center"/>
    </xf>
    <xf numFmtId="0" fontId="3" fillId="0" borderId="30" xfId="0" applyFont="1" applyBorder="1" applyAlignment="1">
      <alignment horizontal="center" vertical="top" wrapText="1"/>
    </xf>
    <xf numFmtId="0" fontId="0" fillId="0" borderId="30" xfId="0" applyBorder="1" applyAlignment="1">
      <alignment horizontal="center" vertical="top" wrapText="1"/>
    </xf>
    <xf numFmtId="170" fontId="32" fillId="0" borderId="10" xfId="67" applyNumberFormat="1" applyFont="1" applyBorder="1" applyAlignment="1" applyProtection="1">
      <alignment horizontal="center" vertical="center" wrapText="1"/>
    </xf>
    <xf numFmtId="170" fontId="32" fillId="0" borderId="11" xfId="67" applyNumberFormat="1" applyFont="1" applyBorder="1" applyAlignment="1" applyProtection="1">
      <alignment horizontal="center" vertical="center" wrapText="1"/>
    </xf>
    <xf numFmtId="170" fontId="32" fillId="0" borderId="12" xfId="67" applyNumberFormat="1" applyFont="1" applyBorder="1" applyAlignment="1" applyProtection="1">
      <alignment horizontal="center" vertical="center" wrapText="1"/>
    </xf>
    <xf numFmtId="0" fontId="32" fillId="0" borderId="54" xfId="67" applyFont="1" applyBorder="1" applyAlignment="1">
      <alignment horizontal="center" vertical="center" wrapText="1"/>
    </xf>
    <xf numFmtId="0" fontId="32" fillId="0" borderId="27" xfId="67" applyFont="1" applyBorder="1" applyAlignment="1">
      <alignment horizontal="center" vertical="center" wrapText="1"/>
    </xf>
    <xf numFmtId="0" fontId="32" fillId="0" borderId="37" xfId="67" applyFont="1" applyBorder="1" applyAlignment="1">
      <alignment horizontal="center" vertical="center" wrapText="1"/>
    </xf>
    <xf numFmtId="0" fontId="32" fillId="11" borderId="54" xfId="67" applyFont="1" applyFill="1" applyBorder="1" applyAlignment="1">
      <alignment horizontal="center" vertical="center" wrapText="1"/>
    </xf>
    <xf numFmtId="0" fontId="32" fillId="11" borderId="27" xfId="67" applyFont="1" applyFill="1" applyBorder="1" applyAlignment="1">
      <alignment horizontal="center" vertical="center" wrapText="1"/>
    </xf>
    <xf numFmtId="0" fontId="32" fillId="11" borderId="37" xfId="67" applyFont="1" applyFill="1" applyBorder="1" applyAlignment="1">
      <alignment horizontal="center" vertical="center" wrapText="1"/>
    </xf>
    <xf numFmtId="0" fontId="3" fillId="0" borderId="1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2" fillId="30" borderId="54" xfId="67" applyFont="1" applyFill="1" applyBorder="1" applyAlignment="1">
      <alignment horizontal="center" vertical="center" wrapText="1"/>
    </xf>
    <xf numFmtId="0" fontId="32" fillId="30" borderId="27" xfId="67" applyFont="1" applyFill="1" applyBorder="1" applyAlignment="1">
      <alignment horizontal="center" vertical="center" wrapText="1"/>
    </xf>
    <xf numFmtId="0" fontId="32" fillId="30" borderId="37" xfId="67" applyFont="1" applyFill="1" applyBorder="1" applyAlignment="1">
      <alignment horizontal="center" vertical="center" wrapText="1"/>
    </xf>
    <xf numFmtId="170" fontId="30" fillId="0" borderId="10" xfId="0" applyNumberFormat="1" applyFont="1" applyBorder="1" applyAlignment="1">
      <alignment horizontal="center" vertical="center"/>
    </xf>
    <xf numFmtId="170" fontId="30" fillId="0" borderId="11" xfId="0" applyNumberFormat="1" applyFont="1" applyBorder="1" applyAlignment="1">
      <alignment horizontal="center" vertical="center"/>
    </xf>
    <xf numFmtId="170" fontId="30" fillId="0" borderId="12" xfId="0" applyNumberFormat="1" applyFont="1" applyBorder="1" applyAlignment="1">
      <alignment horizontal="center" vertical="center"/>
    </xf>
    <xf numFmtId="2" fontId="30" fillId="0" borderId="10" xfId="0" applyNumberFormat="1" applyFont="1" applyBorder="1" applyAlignment="1">
      <alignment horizontal="center" vertical="center"/>
    </xf>
    <xf numFmtId="2" fontId="30" fillId="0" borderId="11" xfId="0" applyNumberFormat="1" applyFont="1" applyBorder="1" applyAlignment="1">
      <alignment horizontal="center" vertical="center"/>
    </xf>
    <xf numFmtId="2" fontId="30" fillId="0" borderId="12" xfId="0" applyNumberFormat="1" applyFont="1" applyBorder="1" applyAlignment="1">
      <alignment horizontal="center" vertical="center"/>
    </xf>
    <xf numFmtId="0" fontId="0" fillId="0" borderId="11" xfId="0" applyBorder="1"/>
    <xf numFmtId="0" fontId="0" fillId="0" borderId="12" xfId="0" applyBorder="1"/>
    <xf numFmtId="0" fontId="45" fillId="0" borderId="0" xfId="67" applyFont="1" applyFill="1" applyBorder="1" applyAlignment="1">
      <alignment horizontal="left" vertical="center" wrapText="1"/>
    </xf>
    <xf numFmtId="0" fontId="0" fillId="19" borderId="79" xfId="0" applyFill="1" applyBorder="1" applyAlignment="1">
      <alignment horizontal="center"/>
    </xf>
    <xf numFmtId="0" fontId="0" fillId="19" borderId="80" xfId="0" applyFill="1" applyBorder="1" applyAlignment="1"/>
    <xf numFmtId="0" fontId="0" fillId="19" borderId="80" xfId="0" applyFill="1" applyBorder="1" applyAlignment="1">
      <alignment horizontal="center"/>
    </xf>
    <xf numFmtId="0" fontId="0" fillId="19" borderId="81" xfId="0" applyFill="1" applyBorder="1" applyAlignment="1"/>
    <xf numFmtId="0" fontId="0" fillId="19" borderId="14" xfId="0" applyFill="1" applyBorder="1" applyAlignment="1">
      <alignment horizontal="center"/>
    </xf>
    <xf numFmtId="0" fontId="0" fillId="19" borderId="30" xfId="0" applyFill="1" applyBorder="1" applyAlignment="1">
      <alignment horizontal="center"/>
    </xf>
    <xf numFmtId="9" fontId="0" fillId="12" borderId="16" xfId="1" applyFont="1" applyFill="1" applyBorder="1" applyAlignment="1">
      <alignment horizontal="center"/>
    </xf>
    <xf numFmtId="9" fontId="0" fillId="12" borderId="0" xfId="1" applyFont="1" applyFill="1" applyBorder="1" applyAlignment="1">
      <alignment horizontal="center"/>
    </xf>
    <xf numFmtId="0" fontId="0" fillId="12" borderId="0" xfId="0" applyFill="1" applyBorder="1" applyAlignment="1">
      <alignment horizontal="center"/>
    </xf>
    <xf numFmtId="0" fontId="80" fillId="0" borderId="77" xfId="0" applyFont="1" applyBorder="1" applyAlignment="1">
      <alignment horizontal="center"/>
    </xf>
    <xf numFmtId="0" fontId="80" fillId="0" borderId="10" xfId="0" applyFont="1" applyBorder="1" applyAlignment="1">
      <alignment horizontal="center" vertical="top" wrapText="1"/>
    </xf>
    <xf numFmtId="0" fontId="80" fillId="0" borderId="11" xfId="0" applyFont="1" applyBorder="1" applyAlignment="1">
      <alignment horizontal="center" vertical="top" wrapText="1"/>
    </xf>
    <xf numFmtId="0" fontId="80" fillId="0" borderId="12" xfId="0" applyFont="1" applyBorder="1" applyAlignment="1">
      <alignment horizontal="center" vertical="top" wrapText="1"/>
    </xf>
    <xf numFmtId="0" fontId="30" fillId="23" borderId="30" xfId="0" applyFont="1" applyFill="1" applyBorder="1" applyAlignment="1">
      <alignment horizontal="center" vertical="top" wrapText="1"/>
    </xf>
  </cellXfs>
  <cellStyles count="83">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9" builtinId="8"/>
    <cellStyle name="Input" xfId="13" builtinId="20" hidden="1"/>
    <cellStyle name="Linked Cell" xfId="16" builtinId="24" hidden="1"/>
    <cellStyle name="Neutral" xfId="12" builtinId="28" hidden="1"/>
    <cellStyle name="Normal" xfId="0" builtinId="0"/>
    <cellStyle name="Normal 2" xfId="82"/>
    <cellStyle name="Normal 2 2" xfId="63"/>
    <cellStyle name="Normal 2_EDFE_SPN_Main_FBPQ (v030909) v4.7" xfId="79"/>
    <cellStyle name="Normal 3" xfId="62"/>
    <cellStyle name="Normal 3_EDFE_SPN_Main_FBPQ (v030909) v4.7" xfId="80"/>
    <cellStyle name="Normal 3_EPN FBPQ Connections Aug v 5 0 (opt3) Rounded" xfId="73"/>
    <cellStyle name="Normal 3_SPN FBPQ Connections Aug v 5 0 (opt3) Rounded" xfId="72"/>
    <cellStyle name="Normal_07-08 RRP - Section 5" xfId="70"/>
    <cellStyle name="Normal_CE-NEDL_0607_RRP_RAV_Draft HLFBPQ1" xfId="77"/>
    <cellStyle name="Normal_EDFE_SPN_Main_FBPQ (v030909) v4.7" xfId="78"/>
    <cellStyle name="Normal_Network Tables 07_08" xfId="61"/>
    <cellStyle name="Normal_Network Tables 07_08 2" xfId="76"/>
    <cellStyle name="Normal_Opex Tables" xfId="68"/>
    <cellStyle name="Normal_risk table" xfId="65"/>
    <cellStyle name="Normal_risk table_EDFE_SPN_Main_FBPQ (v030909) v4.7" xfId="81"/>
    <cellStyle name="Normal_RRP table 4_3 update" xfId="74"/>
    <cellStyle name="Normal_SPN FBPQ Connections Aug v 5 0 (opt3) Rounded" xfId="71"/>
    <cellStyle name="Normal_Tables for 2005-06 Cost report (linked data v2)" xfId="67"/>
    <cellStyle name="Note" xfId="19" builtinId="10" hidden="1"/>
    <cellStyle name="Output" xfId="14" builtinId="21" hidden="1"/>
    <cellStyle name="Percent" xfId="1" builtinId="5"/>
    <cellStyle name="Percent 2 2" xfId="75"/>
    <cellStyle name="Percent 3" xfId="64"/>
    <cellStyle name="Percent 4" xfId="66"/>
    <cellStyle name="Title" xfId="5" builtinId="15" hidden="1"/>
    <cellStyle name="Total" xfId="21" builtinId="25" hidden="1"/>
    <cellStyle name="Warning Text" xfId="18" builtinId="11"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19</xdr:row>
          <xdr:rowOff>38100</xdr:rowOff>
        </xdr:from>
        <xdr:to>
          <xdr:col>1</xdr:col>
          <xdr:colOff>819150</xdr:colOff>
          <xdr:row>19</xdr:row>
          <xdr:rowOff>285750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38100</xdr:rowOff>
        </xdr:from>
        <xdr:to>
          <xdr:col>2</xdr:col>
          <xdr:colOff>1009650</xdr:colOff>
          <xdr:row>19</xdr:row>
          <xdr:rowOff>285750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Electricity North West in 2016/17  Status: 2007/08</v>
      </c>
    </row>
    <row r="3" spans="1:3">
      <c r="A3" s="2" t="s">
        <v>0</v>
      </c>
    </row>
    <row r="4" spans="1:3">
      <c r="A4" s="2" t="s">
        <v>1</v>
      </c>
    </row>
    <row r="5" spans="1:3">
      <c r="A5" s="2" t="s">
        <v>2</v>
      </c>
    </row>
    <row r="7" spans="1:3">
      <c r="A7" s="2" t="s">
        <v>3</v>
      </c>
    </row>
    <row r="9" spans="1:3">
      <c r="A9" s="13" t="s">
        <v>1007</v>
      </c>
      <c r="B9" s="13"/>
      <c r="C9" s="13" t="s">
        <v>4</v>
      </c>
    </row>
    <row r="10" spans="1:3">
      <c r="A10" s="2" t="s">
        <v>5</v>
      </c>
      <c r="C10" s="2" t="s">
        <v>6</v>
      </c>
    </row>
    <row r="11" spans="1:3">
      <c r="A11" s="2" t="s">
        <v>7</v>
      </c>
      <c r="C11" s="2" t="s">
        <v>8</v>
      </c>
    </row>
    <row r="12" spans="1:3">
      <c r="A12" s="2" t="s">
        <v>9</v>
      </c>
      <c r="C12" s="2" t="s">
        <v>8</v>
      </c>
    </row>
    <row r="13" spans="1:3">
      <c r="A13" s="2" t="s">
        <v>10</v>
      </c>
      <c r="C13" s="2" t="s">
        <v>1014</v>
      </c>
    </row>
    <row r="14" spans="1:3">
      <c r="A14" s="2" t="s">
        <v>11</v>
      </c>
      <c r="C14" s="2" t="s">
        <v>1014</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1016</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1008</v>
      </c>
      <c r="B29" s="13"/>
      <c r="C29" s="13" t="s">
        <v>4</v>
      </c>
    </row>
    <row r="30" spans="1:3">
      <c r="A30" s="2" t="s">
        <v>26</v>
      </c>
      <c r="C30" s="2" t="s">
        <v>27</v>
      </c>
    </row>
    <row r="31" spans="1:3">
      <c r="A31" s="2" t="s">
        <v>28</v>
      </c>
      <c r="C31" s="2" t="s">
        <v>27</v>
      </c>
    </row>
    <row r="32" spans="1:3">
      <c r="A32" s="2" t="s">
        <v>29</v>
      </c>
      <c r="C32" s="2" t="s">
        <v>27</v>
      </c>
    </row>
    <row r="33" spans="1:3">
      <c r="A33" s="26" t="s">
        <v>1004</v>
      </c>
      <c r="B33" s="2" t="s">
        <v>1017</v>
      </c>
      <c r="C33" s="2" t="s">
        <v>27</v>
      </c>
    </row>
    <row r="34" spans="1:3">
      <c r="A34" s="26" t="s">
        <v>30</v>
      </c>
      <c r="C34" s="2" t="s">
        <v>27</v>
      </c>
    </row>
    <row r="35" spans="1:3">
      <c r="A35" s="26" t="s">
        <v>1005</v>
      </c>
      <c r="B35" s="2" t="s">
        <v>1017</v>
      </c>
      <c r="C35" s="2" t="s">
        <v>27</v>
      </c>
    </row>
    <row r="36" spans="1:3">
      <c r="A36" s="26" t="s">
        <v>1006</v>
      </c>
      <c r="C36" s="2" t="s">
        <v>27</v>
      </c>
    </row>
    <row r="37" spans="1:3">
      <c r="A37" s="26"/>
    </row>
    <row r="38" spans="1:3">
      <c r="A38" s="27" t="s">
        <v>1009</v>
      </c>
      <c r="B38" s="13"/>
      <c r="C38" s="13" t="s">
        <v>4</v>
      </c>
    </row>
    <row r="39" spans="1:3">
      <c r="A39" s="2" t="s">
        <v>1010</v>
      </c>
      <c r="C39" s="2" t="s">
        <v>31</v>
      </c>
    </row>
  </sheetData>
  <sheetProtection sheet="1" objects="1" scenarios="1"/>
  <phoneticPr fontId="2" type="noConversion"/>
  <pageMargins left="0.75" right="0.75" top="1" bottom="1" header="0.5" footer="0.5"/>
  <pageSetup paperSize="9" scale="5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5FFFF"/>
    <pageSetUpPr fitToPage="1"/>
  </sheetPr>
  <dimension ref="A1:W187"/>
  <sheetViews>
    <sheetView zoomScale="80" zoomScaleNormal="80" workbookViewId="0">
      <selection activeCell="X45" sqref="X45"/>
    </sheetView>
  </sheetViews>
  <sheetFormatPr defaultColWidth="8.85546875" defaultRowHeight="14.25"/>
  <cols>
    <col min="1" max="1" width="4.28515625" style="883" customWidth="1"/>
    <col min="2" max="2" width="45.85546875" style="885" customWidth="1"/>
    <col min="3" max="3" width="40.28515625" style="885" customWidth="1"/>
    <col min="4" max="8" width="10.28515625" style="885" customWidth="1"/>
    <col min="9" max="13" width="10.28515625" style="886" customWidth="1"/>
    <col min="14" max="14" width="4.140625" style="886" customWidth="1"/>
    <col min="15" max="17" width="13.7109375" style="886" customWidth="1"/>
    <col min="18" max="18" width="4.28515625" style="886" customWidth="1"/>
    <col min="19" max="20" width="11.85546875" style="886" customWidth="1"/>
    <col min="21" max="23" width="8.85546875" style="886"/>
    <col min="24" max="16384" width="8.85546875" style="885"/>
  </cols>
  <sheetData>
    <row r="1" spans="1:20" s="850" customFormat="1" ht="20.25">
      <c r="A1" s="729" t="s">
        <v>363</v>
      </c>
      <c r="G1" s="729" t="s">
        <v>67</v>
      </c>
    </row>
    <row r="2" spans="1:20" s="850" customFormat="1" ht="20.25">
      <c r="A2" s="851"/>
      <c r="B2" s="729"/>
    </row>
    <row r="3" spans="1:20" s="853" customFormat="1" ht="21" thickBot="1">
      <c r="A3" s="852" t="s">
        <v>442</v>
      </c>
    </row>
    <row r="4" spans="1:20" s="855" customFormat="1" ht="12.75">
      <c r="A4" s="854"/>
      <c r="S4" s="219"/>
      <c r="T4" s="219"/>
    </row>
    <row r="5" spans="1:20" s="858" customFormat="1" ht="12.75">
      <c r="A5" s="856"/>
      <c r="B5" s="857" t="s">
        <v>443</v>
      </c>
      <c r="O5" s="231"/>
      <c r="P5" s="231"/>
      <c r="Q5" s="231"/>
      <c r="R5" s="231"/>
      <c r="S5" s="231"/>
      <c r="T5" s="231"/>
    </row>
    <row r="6" spans="1:20" s="239" customFormat="1" ht="13.5" thickBot="1">
      <c r="A6" s="859"/>
      <c r="B6" s="230"/>
      <c r="C6" s="230"/>
      <c r="D6" s="230"/>
      <c r="E6" s="230"/>
      <c r="F6" s="230"/>
      <c r="G6" s="230"/>
      <c r="H6" s="230"/>
      <c r="I6" s="230"/>
      <c r="J6" s="230"/>
      <c r="K6" s="230"/>
      <c r="L6" s="230"/>
      <c r="M6" s="230"/>
      <c r="N6" s="231"/>
      <c r="O6" s="860"/>
      <c r="P6" s="860"/>
      <c r="Q6" s="860"/>
      <c r="R6" s="231"/>
      <c r="S6" s="860"/>
      <c r="T6" s="860"/>
    </row>
    <row r="7" spans="1:20" s="239" customFormat="1" ht="15" customHeight="1">
      <c r="A7" s="859"/>
      <c r="B7" s="1933" t="s">
        <v>444</v>
      </c>
      <c r="C7" s="1934"/>
      <c r="D7" s="242" t="s">
        <v>445</v>
      </c>
      <c r="E7" s="240"/>
      <c r="F7" s="240"/>
      <c r="G7" s="240"/>
      <c r="H7" s="241"/>
      <c r="I7" s="242" t="s">
        <v>446</v>
      </c>
      <c r="J7" s="240"/>
      <c r="K7" s="240"/>
      <c r="L7" s="240"/>
      <c r="M7" s="241"/>
      <c r="N7" s="231"/>
      <c r="O7" s="243" t="s">
        <v>211</v>
      </c>
      <c r="P7" s="244"/>
      <c r="Q7" s="245"/>
      <c r="R7" s="231"/>
      <c r="S7" s="243" t="s">
        <v>212</v>
      </c>
      <c r="T7" s="245"/>
    </row>
    <row r="8" spans="1:20" s="239" customFormat="1" ht="15" customHeight="1">
      <c r="A8" s="859"/>
      <c r="B8" s="1935"/>
      <c r="C8" s="1936"/>
      <c r="D8" s="249" t="s">
        <v>99</v>
      </c>
      <c r="E8" s="247" t="s">
        <v>100</v>
      </c>
      <c r="F8" s="247" t="s">
        <v>101</v>
      </c>
      <c r="G8" s="247" t="s">
        <v>102</v>
      </c>
      <c r="H8" s="248" t="s">
        <v>64</v>
      </c>
      <c r="I8" s="249" t="s">
        <v>213</v>
      </c>
      <c r="J8" s="247" t="s">
        <v>214</v>
      </c>
      <c r="K8" s="247" t="s">
        <v>215</v>
      </c>
      <c r="L8" s="247" t="s">
        <v>216</v>
      </c>
      <c r="M8" s="248" t="s">
        <v>217</v>
      </c>
      <c r="N8" s="231"/>
      <c r="O8" s="250" t="s">
        <v>218</v>
      </c>
      <c r="P8" s="251" t="s">
        <v>219</v>
      </c>
      <c r="Q8" s="252" t="s">
        <v>220</v>
      </c>
      <c r="R8" s="231"/>
      <c r="S8" s="250" t="s">
        <v>219</v>
      </c>
      <c r="T8" s="252" t="s">
        <v>221</v>
      </c>
    </row>
    <row r="9" spans="1:20" s="239" customFormat="1" ht="15" customHeight="1">
      <c r="A9" s="859"/>
      <c r="B9" s="1937"/>
      <c r="C9" s="1938"/>
      <c r="D9" s="249" t="s">
        <v>223</v>
      </c>
      <c r="E9" s="247" t="s">
        <v>223</v>
      </c>
      <c r="F9" s="247" t="s">
        <v>223</v>
      </c>
      <c r="G9" s="247" t="s">
        <v>223</v>
      </c>
      <c r="H9" s="248" t="s">
        <v>223</v>
      </c>
      <c r="I9" s="246" t="s">
        <v>223</v>
      </c>
      <c r="J9" s="247" t="s">
        <v>223</v>
      </c>
      <c r="K9" s="247" t="s">
        <v>223</v>
      </c>
      <c r="L9" s="247" t="s">
        <v>223</v>
      </c>
      <c r="M9" s="248" t="s">
        <v>223</v>
      </c>
      <c r="N9" s="230"/>
      <c r="O9" s="253"/>
      <c r="P9" s="254"/>
      <c r="Q9" s="255"/>
      <c r="R9" s="231"/>
      <c r="S9" s="256"/>
      <c r="T9" s="257"/>
    </row>
    <row r="10" spans="1:20" s="239" customFormat="1" ht="15" customHeight="1">
      <c r="A10" s="859"/>
      <c r="B10" s="1939" t="s">
        <v>447</v>
      </c>
      <c r="C10" s="861" t="s">
        <v>448</v>
      </c>
      <c r="D10" s="227">
        <v>0.29943695880503757</v>
      </c>
      <c r="E10" s="228">
        <v>0.34314211987273269</v>
      </c>
      <c r="F10" s="228">
        <v>0.49641498621763214</v>
      </c>
      <c r="G10" s="228">
        <v>0.73847336213476156</v>
      </c>
      <c r="H10" s="229">
        <v>0</v>
      </c>
      <c r="I10" s="227">
        <v>0</v>
      </c>
      <c r="J10" s="228">
        <v>0</v>
      </c>
      <c r="K10" s="228">
        <v>0</v>
      </c>
      <c r="L10" s="228">
        <v>0</v>
      </c>
      <c r="M10" s="229">
        <v>0</v>
      </c>
      <c r="N10" s="230"/>
      <c r="O10" s="161">
        <f>SUM(D10:G10)</f>
        <v>1.8774674270301639</v>
      </c>
      <c r="P10" s="162">
        <f>H10</f>
        <v>0</v>
      </c>
      <c r="Q10" s="163">
        <f>SUM(D10:H10)</f>
        <v>1.8774674270301639</v>
      </c>
      <c r="R10" s="231"/>
      <c r="S10" s="161">
        <f>SUM(I10:M10)</f>
        <v>0</v>
      </c>
      <c r="T10" s="165">
        <f>IF(Q10&lt;&gt;0,(S10-Q10)/Q10,"0")</f>
        <v>-1</v>
      </c>
    </row>
    <row r="11" spans="1:20" s="239" customFormat="1" ht="15" customHeight="1">
      <c r="A11" s="859"/>
      <c r="B11" s="1940"/>
      <c r="C11" s="862" t="s">
        <v>449</v>
      </c>
      <c r="D11" s="232">
        <v>1.665766641298013</v>
      </c>
      <c r="E11" s="233">
        <v>1.4447684713936488</v>
      </c>
      <c r="F11" s="233">
        <v>3.4448341116867969</v>
      </c>
      <c r="G11" s="233">
        <v>3.0803516469348824</v>
      </c>
      <c r="H11" s="234">
        <v>2.2312420944391329</v>
      </c>
      <c r="I11" s="232">
        <v>3.9538919436549795</v>
      </c>
      <c r="J11" s="233">
        <v>3.3223401237012431</v>
      </c>
      <c r="K11" s="233">
        <v>3.385176631815737</v>
      </c>
      <c r="L11" s="233">
        <v>2.9094320841469639</v>
      </c>
      <c r="M11" s="234">
        <v>2.875869987811889</v>
      </c>
      <c r="N11" s="230"/>
      <c r="O11" s="161">
        <f t="shared" ref="O11:O35" si="0">SUM(D11:G11)</f>
        <v>9.6357208713133407</v>
      </c>
      <c r="P11" s="162">
        <f t="shared" ref="P11:P35" si="1">H11</f>
        <v>2.2312420944391329</v>
      </c>
      <c r="Q11" s="163">
        <f>SUM(D11:H11)</f>
        <v>11.866962965752474</v>
      </c>
      <c r="R11" s="231"/>
      <c r="S11" s="161">
        <f>SUM(I11:M11)</f>
        <v>16.44671077113081</v>
      </c>
      <c r="T11" s="165">
        <f>IF(Q11&lt;&gt;0,(S11-Q11)/Q11,"0")</f>
        <v>0.38592416767417947</v>
      </c>
    </row>
    <row r="12" spans="1:20" s="239" customFormat="1" ht="15" customHeight="1">
      <c r="A12" s="859"/>
      <c r="B12" s="1940" t="s">
        <v>450</v>
      </c>
      <c r="C12" s="862" t="s">
        <v>448</v>
      </c>
      <c r="D12" s="232">
        <v>0</v>
      </c>
      <c r="E12" s="233">
        <v>0</v>
      </c>
      <c r="F12" s="233">
        <v>0</v>
      </c>
      <c r="G12" s="233">
        <v>0</v>
      </c>
      <c r="H12" s="234">
        <v>0</v>
      </c>
      <c r="I12" s="232">
        <v>0</v>
      </c>
      <c r="J12" s="233">
        <v>0</v>
      </c>
      <c r="K12" s="233">
        <v>0</v>
      </c>
      <c r="L12" s="233">
        <v>0</v>
      </c>
      <c r="M12" s="234">
        <v>0</v>
      </c>
      <c r="N12" s="230"/>
      <c r="O12" s="161">
        <f t="shared" si="0"/>
        <v>0</v>
      </c>
      <c r="P12" s="162">
        <f t="shared" si="1"/>
        <v>0</v>
      </c>
      <c r="Q12" s="163">
        <f t="shared" ref="Q12:Q35" si="2">SUM(D12:H12)</f>
        <v>0</v>
      </c>
      <c r="R12" s="231"/>
      <c r="S12" s="161">
        <f t="shared" ref="S12:S35" si="3">SUM(I12:M12)</f>
        <v>0</v>
      </c>
      <c r="T12" s="165" t="str">
        <f t="shared" ref="T12:T35" si="4">IF(Q12&lt;&gt;0,(S12-Q12)/Q12,"0")</f>
        <v>0</v>
      </c>
    </row>
    <row r="13" spans="1:20" s="239" customFormat="1" ht="15" customHeight="1">
      <c r="A13" s="859"/>
      <c r="B13" s="1940"/>
      <c r="C13" s="862" t="s">
        <v>449</v>
      </c>
      <c r="D13" s="232">
        <v>2.1702727720480052E-2</v>
      </c>
      <c r="E13" s="233">
        <v>-7.4288441301824711E-3</v>
      </c>
      <c r="F13" s="233">
        <v>0.26690592453788359</v>
      </c>
      <c r="G13" s="233">
        <v>6.684404033423455E-2</v>
      </c>
      <c r="H13" s="234">
        <v>0.23754675212009477</v>
      </c>
      <c r="I13" s="232">
        <v>0.24971769872009478</v>
      </c>
      <c r="J13" s="233">
        <v>0.25641063692009475</v>
      </c>
      <c r="K13" s="233">
        <v>0.26126021537009481</v>
      </c>
      <c r="L13" s="233">
        <v>0.24654827912009475</v>
      </c>
      <c r="M13" s="234">
        <v>0.24370419242009475</v>
      </c>
      <c r="N13" s="230"/>
      <c r="O13" s="161">
        <f t="shared" si="0"/>
        <v>0.34802384846241574</v>
      </c>
      <c r="P13" s="162">
        <f t="shared" si="1"/>
        <v>0.23754675212009477</v>
      </c>
      <c r="Q13" s="163">
        <f t="shared" si="2"/>
        <v>0.58557060058251054</v>
      </c>
      <c r="R13" s="231"/>
      <c r="S13" s="161">
        <f t="shared" si="3"/>
        <v>1.2576410225504737</v>
      </c>
      <c r="T13" s="165">
        <f t="shared" si="4"/>
        <v>1.1477188596890022</v>
      </c>
    </row>
    <row r="14" spans="1:20" s="239" customFormat="1" ht="15" customHeight="1">
      <c r="A14" s="859"/>
      <c r="B14" s="1932" t="s">
        <v>368</v>
      </c>
      <c r="C14" s="862" t="s">
        <v>451</v>
      </c>
      <c r="D14" s="232">
        <v>1.1413151966039032</v>
      </c>
      <c r="E14" s="233">
        <v>1.2333847110440672</v>
      </c>
      <c r="F14" s="233">
        <v>2.1699941436763783</v>
      </c>
      <c r="G14" s="233">
        <v>1.0860318577015582</v>
      </c>
      <c r="H14" s="234">
        <v>1.6872479589838507</v>
      </c>
      <c r="I14" s="232">
        <v>7.0247689079204241</v>
      </c>
      <c r="J14" s="233">
        <v>5.6554121787983513</v>
      </c>
      <c r="K14" s="233">
        <v>4.6798948236076177</v>
      </c>
      <c r="L14" s="233">
        <v>1.6282939306373858</v>
      </c>
      <c r="M14" s="234">
        <v>1.6095105543009371</v>
      </c>
      <c r="N14" s="230"/>
      <c r="O14" s="161">
        <f t="shared" si="0"/>
        <v>5.630725909025907</v>
      </c>
      <c r="P14" s="162">
        <f t="shared" si="1"/>
        <v>1.6872479589838507</v>
      </c>
      <c r="Q14" s="163">
        <f t="shared" si="2"/>
        <v>7.3179738680097577</v>
      </c>
      <c r="R14" s="231"/>
      <c r="S14" s="161">
        <f t="shared" si="3"/>
        <v>20.597880395264717</v>
      </c>
      <c r="T14" s="165">
        <f t="shared" si="4"/>
        <v>1.8146971780409822</v>
      </c>
    </row>
    <row r="15" spans="1:20" s="239" customFormat="1" ht="15" customHeight="1">
      <c r="A15" s="859"/>
      <c r="B15" s="1932"/>
      <c r="C15" s="862" t="s">
        <v>452</v>
      </c>
      <c r="D15" s="232">
        <v>3.7012929872618234</v>
      </c>
      <c r="E15" s="233">
        <v>4.7151035774017549</v>
      </c>
      <c r="F15" s="233">
        <v>7.9283833739575034</v>
      </c>
      <c r="G15" s="233">
        <v>7.6189741783397533</v>
      </c>
      <c r="H15" s="234">
        <v>6.4010884313322345</v>
      </c>
      <c r="I15" s="232">
        <v>5.7068118033005915</v>
      </c>
      <c r="J15" s="233">
        <v>6.2968331946393361</v>
      </c>
      <c r="K15" s="233">
        <v>6.3849975341844418</v>
      </c>
      <c r="L15" s="233">
        <v>6.3108597748234549</v>
      </c>
      <c r="M15" s="234">
        <v>6.5416231769979714</v>
      </c>
      <c r="N15" s="230"/>
      <c r="O15" s="161">
        <f t="shared" si="0"/>
        <v>23.963754116960835</v>
      </c>
      <c r="P15" s="162">
        <f t="shared" si="1"/>
        <v>6.4010884313322345</v>
      </c>
      <c r="Q15" s="163">
        <f t="shared" si="2"/>
        <v>30.364842548293069</v>
      </c>
      <c r="R15" s="231"/>
      <c r="S15" s="161">
        <f t="shared" si="3"/>
        <v>31.241125483945794</v>
      </c>
      <c r="T15" s="165">
        <f t="shared" si="4"/>
        <v>2.8858471248749625E-2</v>
      </c>
    </row>
    <row r="16" spans="1:20" s="239" customFormat="1" ht="15" customHeight="1">
      <c r="A16" s="859"/>
      <c r="B16" s="1932"/>
      <c r="C16" s="863" t="s">
        <v>453</v>
      </c>
      <c r="D16" s="232">
        <v>0.30818995772026564</v>
      </c>
      <c r="E16" s="233">
        <v>0.14565821518070896</v>
      </c>
      <c r="F16" s="233">
        <v>0.45304961075020383</v>
      </c>
      <c r="G16" s="233">
        <v>0.82814625118588114</v>
      </c>
      <c r="H16" s="234">
        <v>1.1793676441989054</v>
      </c>
      <c r="I16" s="232">
        <v>1.0089988723374779</v>
      </c>
      <c r="J16" s="233">
        <v>1.2277556458688326</v>
      </c>
      <c r="K16" s="233">
        <v>1.2865517767139827</v>
      </c>
      <c r="L16" s="233">
        <v>1.4581703470409069</v>
      </c>
      <c r="M16" s="234">
        <v>1.7414157567270132</v>
      </c>
      <c r="N16" s="230"/>
      <c r="O16" s="161">
        <f t="shared" si="0"/>
        <v>1.7350440348370597</v>
      </c>
      <c r="P16" s="162">
        <f t="shared" si="1"/>
        <v>1.1793676441989054</v>
      </c>
      <c r="Q16" s="163">
        <f t="shared" si="2"/>
        <v>2.9144116790359651</v>
      </c>
      <c r="R16" s="231"/>
      <c r="S16" s="161">
        <f t="shared" si="3"/>
        <v>6.722892398688213</v>
      </c>
      <c r="T16" s="165">
        <f t="shared" si="4"/>
        <v>1.3067751364872462</v>
      </c>
    </row>
    <row r="17" spans="1:20" s="239" customFormat="1" ht="15" customHeight="1">
      <c r="A17" s="859"/>
      <c r="B17" s="1932" t="s">
        <v>245</v>
      </c>
      <c r="C17" s="862" t="s">
        <v>454</v>
      </c>
      <c r="D17" s="232">
        <v>4.8417882458104975</v>
      </c>
      <c r="E17" s="233">
        <v>3.6531191082967447</v>
      </c>
      <c r="F17" s="233">
        <v>3.9509381048745129</v>
      </c>
      <c r="G17" s="233">
        <v>4.6011943559342603</v>
      </c>
      <c r="H17" s="234">
        <v>5.6460014732326984</v>
      </c>
      <c r="I17" s="232">
        <v>7.6997081336009137</v>
      </c>
      <c r="J17" s="233">
        <v>15.421889915557122</v>
      </c>
      <c r="K17" s="233">
        <v>9.6504629232756525</v>
      </c>
      <c r="L17" s="233">
        <v>5.3692209467833738</v>
      </c>
      <c r="M17" s="234">
        <v>5.3412732126506626</v>
      </c>
      <c r="N17" s="230"/>
      <c r="O17" s="161">
        <f t="shared" si="0"/>
        <v>17.047039814916015</v>
      </c>
      <c r="P17" s="162">
        <f t="shared" si="1"/>
        <v>5.6460014732326984</v>
      </c>
      <c r="Q17" s="163">
        <f t="shared" si="2"/>
        <v>22.693041288148713</v>
      </c>
      <c r="R17" s="231"/>
      <c r="S17" s="161">
        <f t="shared" si="3"/>
        <v>43.48255513186772</v>
      </c>
      <c r="T17" s="165">
        <f t="shared" si="4"/>
        <v>0.91611845145569759</v>
      </c>
    </row>
    <row r="18" spans="1:20" s="239" customFormat="1" ht="15" customHeight="1">
      <c r="A18" s="859"/>
      <c r="B18" s="1932"/>
      <c r="C18" s="862" t="s">
        <v>115</v>
      </c>
      <c r="D18" s="232">
        <v>0.92808627259375609</v>
      </c>
      <c r="E18" s="233">
        <v>1.5841372278994461</v>
      </c>
      <c r="F18" s="233">
        <v>2.6950610737186551</v>
      </c>
      <c r="G18" s="233">
        <v>2.4510309203837473</v>
      </c>
      <c r="H18" s="234">
        <v>2.386606181013728</v>
      </c>
      <c r="I18" s="232">
        <v>3.2181385974600345</v>
      </c>
      <c r="J18" s="233">
        <v>4.4051488459898867</v>
      </c>
      <c r="K18" s="233">
        <v>4.0975366925523709</v>
      </c>
      <c r="L18" s="233">
        <v>5.2496826059511914</v>
      </c>
      <c r="M18" s="234">
        <v>5.8580818554309788</v>
      </c>
      <c r="N18" s="230"/>
      <c r="O18" s="161">
        <f t="shared" si="0"/>
        <v>7.6583154945956045</v>
      </c>
      <c r="P18" s="162">
        <f t="shared" si="1"/>
        <v>2.386606181013728</v>
      </c>
      <c r="Q18" s="163">
        <f t="shared" si="2"/>
        <v>10.044921675609332</v>
      </c>
      <c r="R18" s="231"/>
      <c r="S18" s="161">
        <f t="shared" si="3"/>
        <v>22.828588597384464</v>
      </c>
      <c r="T18" s="165">
        <f t="shared" si="4"/>
        <v>1.272649736315606</v>
      </c>
    </row>
    <row r="19" spans="1:20" s="239" customFormat="1" ht="15" customHeight="1">
      <c r="A19" s="859"/>
      <c r="B19" s="1932"/>
      <c r="C19" s="863" t="s">
        <v>455</v>
      </c>
      <c r="D19" s="232">
        <v>0</v>
      </c>
      <c r="E19" s="233">
        <v>0</v>
      </c>
      <c r="F19" s="233">
        <v>0</v>
      </c>
      <c r="G19" s="233">
        <v>0</v>
      </c>
      <c r="H19" s="234">
        <v>0</v>
      </c>
      <c r="I19" s="232">
        <v>0</v>
      </c>
      <c r="J19" s="233">
        <v>0</v>
      </c>
      <c r="K19" s="233">
        <v>0</v>
      </c>
      <c r="L19" s="233">
        <v>0</v>
      </c>
      <c r="M19" s="234">
        <v>0</v>
      </c>
      <c r="N19" s="230"/>
      <c r="O19" s="161">
        <f t="shared" si="0"/>
        <v>0</v>
      </c>
      <c r="P19" s="162">
        <f t="shared" si="1"/>
        <v>0</v>
      </c>
      <c r="Q19" s="163">
        <f t="shared" si="2"/>
        <v>0</v>
      </c>
      <c r="R19" s="231"/>
      <c r="S19" s="161">
        <f t="shared" si="3"/>
        <v>0</v>
      </c>
      <c r="T19" s="165" t="str">
        <f t="shared" si="4"/>
        <v>0</v>
      </c>
    </row>
    <row r="20" spans="1:20" s="239" customFormat="1" ht="15" customHeight="1">
      <c r="A20" s="859"/>
      <c r="B20" s="1932"/>
      <c r="C20" s="863" t="s">
        <v>453</v>
      </c>
      <c r="D20" s="232">
        <v>2.3016836325420482</v>
      </c>
      <c r="E20" s="233">
        <v>2.8986070473050329</v>
      </c>
      <c r="F20" s="233">
        <v>3.7989188495811352</v>
      </c>
      <c r="G20" s="233">
        <v>3.5700809059543301</v>
      </c>
      <c r="H20" s="234">
        <v>3.4977983362719058</v>
      </c>
      <c r="I20" s="232">
        <v>3.1531944804966363</v>
      </c>
      <c r="J20" s="233">
        <v>7.062181752481445</v>
      </c>
      <c r="K20" s="233">
        <v>5.4364236814138156</v>
      </c>
      <c r="L20" s="233">
        <v>10.656603296391349</v>
      </c>
      <c r="M20" s="234">
        <v>12.84042780640678</v>
      </c>
      <c r="N20" s="230"/>
      <c r="O20" s="161">
        <f t="shared" si="0"/>
        <v>12.569290435382545</v>
      </c>
      <c r="P20" s="162">
        <f t="shared" si="1"/>
        <v>3.4977983362719058</v>
      </c>
      <c r="Q20" s="163">
        <f t="shared" si="2"/>
        <v>16.067088771654451</v>
      </c>
      <c r="R20" s="231"/>
      <c r="S20" s="161">
        <f t="shared" si="3"/>
        <v>39.148831017190027</v>
      </c>
      <c r="T20" s="165">
        <f t="shared" si="4"/>
        <v>1.4365852192374995</v>
      </c>
    </row>
    <row r="21" spans="1:20" s="239" customFormat="1" ht="15" customHeight="1">
      <c r="A21" s="859"/>
      <c r="B21" s="1932"/>
      <c r="C21" s="862" t="s">
        <v>456</v>
      </c>
      <c r="D21" s="232">
        <v>1.0001372383832423</v>
      </c>
      <c r="E21" s="233">
        <v>0.95540676470369701</v>
      </c>
      <c r="F21" s="233">
        <v>1.1113831574263524</v>
      </c>
      <c r="G21" s="233">
        <v>1.4716935021218946</v>
      </c>
      <c r="H21" s="234">
        <v>1.6184212972289407</v>
      </c>
      <c r="I21" s="232">
        <v>3.0137130094385167</v>
      </c>
      <c r="J21" s="233">
        <v>3.9567940377787099</v>
      </c>
      <c r="K21" s="233">
        <v>4.0566534037213318</v>
      </c>
      <c r="L21" s="233">
        <v>4.3212259462208467</v>
      </c>
      <c r="M21" s="234">
        <v>5.0834640516003082</v>
      </c>
      <c r="N21" s="230"/>
      <c r="O21" s="161">
        <f t="shared" si="0"/>
        <v>4.5386206626351866</v>
      </c>
      <c r="P21" s="162">
        <f t="shared" si="1"/>
        <v>1.6184212972289407</v>
      </c>
      <c r="Q21" s="163">
        <f t="shared" si="2"/>
        <v>6.1570419598641273</v>
      </c>
      <c r="R21" s="231"/>
      <c r="S21" s="161">
        <f t="shared" si="3"/>
        <v>20.431850448759715</v>
      </c>
      <c r="T21" s="165">
        <f t="shared" si="4"/>
        <v>2.3184523642925767</v>
      </c>
    </row>
    <row r="22" spans="1:20" s="239" customFormat="1" ht="15" customHeight="1">
      <c r="A22" s="859"/>
      <c r="B22" s="1932"/>
      <c r="C22" s="862" t="s">
        <v>457</v>
      </c>
      <c r="D22" s="232">
        <v>1.4808769402748174</v>
      </c>
      <c r="E22" s="233">
        <v>1.9551936125964231</v>
      </c>
      <c r="F22" s="233">
        <v>5.6965713049845066</v>
      </c>
      <c r="G22" s="233">
        <v>3.0705473673499872</v>
      </c>
      <c r="H22" s="234">
        <v>1.0384193936590156</v>
      </c>
      <c r="I22" s="232">
        <v>1.6276005704736711</v>
      </c>
      <c r="J22" s="233">
        <v>1.632775082218904</v>
      </c>
      <c r="K22" s="233">
        <v>1.6891252475669729</v>
      </c>
      <c r="L22" s="233">
        <v>1.5805846528282383</v>
      </c>
      <c r="M22" s="234">
        <v>1.572357433257781</v>
      </c>
      <c r="N22" s="230"/>
      <c r="O22" s="161">
        <f t="shared" si="0"/>
        <v>12.203189225205733</v>
      </c>
      <c r="P22" s="162">
        <f t="shared" si="1"/>
        <v>1.0384193936590156</v>
      </c>
      <c r="Q22" s="163">
        <f t="shared" si="2"/>
        <v>13.241608618864749</v>
      </c>
      <c r="R22" s="231"/>
      <c r="S22" s="161">
        <f t="shared" si="3"/>
        <v>8.1024429863455687</v>
      </c>
      <c r="T22" s="165">
        <f t="shared" si="4"/>
        <v>-0.38810735012947239</v>
      </c>
    </row>
    <row r="23" spans="1:20" s="239" customFormat="1" ht="15" customHeight="1">
      <c r="A23" s="859"/>
      <c r="B23" s="1932" t="s">
        <v>427</v>
      </c>
      <c r="C23" s="862" t="s">
        <v>454</v>
      </c>
      <c r="D23" s="232">
        <v>1.4128408490660982</v>
      </c>
      <c r="E23" s="233">
        <v>0.93899893474323826</v>
      </c>
      <c r="F23" s="233">
        <v>1.0668936591236149</v>
      </c>
      <c r="G23" s="233">
        <v>1.0231105445473696</v>
      </c>
      <c r="H23" s="234">
        <v>1.387387956284845</v>
      </c>
      <c r="I23" s="232">
        <v>2.8242609332095361</v>
      </c>
      <c r="J23" s="233">
        <v>1.695591796369188</v>
      </c>
      <c r="K23" s="233">
        <v>3.7480487341421096</v>
      </c>
      <c r="L23" s="233">
        <v>1.0464280597943092</v>
      </c>
      <c r="M23" s="234">
        <v>3.3829010906273407</v>
      </c>
      <c r="N23" s="230"/>
      <c r="O23" s="161">
        <f t="shared" si="0"/>
        <v>4.4418439874803211</v>
      </c>
      <c r="P23" s="162">
        <f t="shared" si="1"/>
        <v>1.387387956284845</v>
      </c>
      <c r="Q23" s="163">
        <f t="shared" si="2"/>
        <v>5.8292319437651656</v>
      </c>
      <c r="R23" s="231"/>
      <c r="S23" s="161">
        <f t="shared" si="3"/>
        <v>12.697230614142482</v>
      </c>
      <c r="T23" s="165">
        <f t="shared" si="4"/>
        <v>1.1781995872926614</v>
      </c>
    </row>
    <row r="24" spans="1:20" s="239" customFormat="1" ht="15" customHeight="1">
      <c r="A24" s="859"/>
      <c r="B24" s="1932"/>
      <c r="C24" s="862" t="s">
        <v>115</v>
      </c>
      <c r="D24" s="232">
        <v>2.5138835904107069</v>
      </c>
      <c r="E24" s="233">
        <v>2.5538323936697078</v>
      </c>
      <c r="F24" s="233">
        <v>5.235244059931853</v>
      </c>
      <c r="G24" s="233">
        <v>7.0196003796643005</v>
      </c>
      <c r="H24" s="234">
        <v>0.88105557496978137</v>
      </c>
      <c r="I24" s="232">
        <v>1.9455756890812035</v>
      </c>
      <c r="J24" s="233">
        <v>2.23624537057314</v>
      </c>
      <c r="K24" s="233">
        <v>1.8877212367368394</v>
      </c>
      <c r="L24" s="233">
        <v>4.5740512748414446</v>
      </c>
      <c r="M24" s="234">
        <v>5.6648239721067855</v>
      </c>
      <c r="N24" s="230"/>
      <c r="O24" s="161">
        <f t="shared" si="0"/>
        <v>17.32256042367657</v>
      </c>
      <c r="P24" s="162">
        <f t="shared" si="1"/>
        <v>0.88105557496978137</v>
      </c>
      <c r="Q24" s="163">
        <f t="shared" si="2"/>
        <v>18.203615998646352</v>
      </c>
      <c r="R24" s="231"/>
      <c r="S24" s="161">
        <f t="shared" si="3"/>
        <v>16.308417543339413</v>
      </c>
      <c r="T24" s="165">
        <f t="shared" si="4"/>
        <v>-0.10411109833605967</v>
      </c>
    </row>
    <row r="25" spans="1:20" s="239" customFormat="1" ht="15" customHeight="1">
      <c r="A25" s="859"/>
      <c r="B25" s="1932"/>
      <c r="C25" s="862" t="s">
        <v>455</v>
      </c>
      <c r="D25" s="232">
        <v>0</v>
      </c>
      <c r="E25" s="233">
        <v>0</v>
      </c>
      <c r="F25" s="233">
        <v>0</v>
      </c>
      <c r="G25" s="233">
        <v>0</v>
      </c>
      <c r="H25" s="234">
        <v>0</v>
      </c>
      <c r="I25" s="232">
        <v>0</v>
      </c>
      <c r="J25" s="233">
        <v>0</v>
      </c>
      <c r="K25" s="233">
        <v>0</v>
      </c>
      <c r="L25" s="233">
        <v>0</v>
      </c>
      <c r="M25" s="234">
        <v>0</v>
      </c>
      <c r="N25" s="230"/>
      <c r="O25" s="161">
        <f t="shared" si="0"/>
        <v>0</v>
      </c>
      <c r="P25" s="162">
        <f t="shared" si="1"/>
        <v>0</v>
      </c>
      <c r="Q25" s="163">
        <f t="shared" si="2"/>
        <v>0</v>
      </c>
      <c r="R25" s="231"/>
      <c r="S25" s="161">
        <f t="shared" si="3"/>
        <v>0</v>
      </c>
      <c r="T25" s="165" t="str">
        <f t="shared" si="4"/>
        <v>0</v>
      </c>
    </row>
    <row r="26" spans="1:20" s="239" customFormat="1" ht="15" customHeight="1">
      <c r="A26" s="859"/>
      <c r="B26" s="1932"/>
      <c r="C26" s="862" t="s">
        <v>453</v>
      </c>
      <c r="D26" s="232">
        <v>0.97900740122005747</v>
      </c>
      <c r="E26" s="233">
        <v>0.59252535964318098</v>
      </c>
      <c r="F26" s="233">
        <v>1.2475600057165788</v>
      </c>
      <c r="G26" s="233">
        <v>0.77839278034302573</v>
      </c>
      <c r="H26" s="234">
        <v>0.16782946217012026</v>
      </c>
      <c r="I26" s="232">
        <v>0.55014918056235529</v>
      </c>
      <c r="J26" s="233">
        <v>0.53878860819846797</v>
      </c>
      <c r="K26" s="233">
        <v>1.7998831767234649</v>
      </c>
      <c r="L26" s="233">
        <v>3.0927458773130465</v>
      </c>
      <c r="M26" s="234">
        <v>5.3426802889023435</v>
      </c>
      <c r="N26" s="230"/>
      <c r="O26" s="161">
        <f t="shared" si="0"/>
        <v>3.5974855469228428</v>
      </c>
      <c r="P26" s="162">
        <f t="shared" si="1"/>
        <v>0.16782946217012026</v>
      </c>
      <c r="Q26" s="163">
        <f t="shared" si="2"/>
        <v>3.765315009092963</v>
      </c>
      <c r="R26" s="231"/>
      <c r="S26" s="161">
        <f t="shared" si="3"/>
        <v>11.324247131699678</v>
      </c>
      <c r="T26" s="165">
        <f t="shared" si="4"/>
        <v>2.0075165303175013</v>
      </c>
    </row>
    <row r="27" spans="1:20" s="239" customFormat="1" ht="15" customHeight="1">
      <c r="A27" s="859"/>
      <c r="B27" s="1932"/>
      <c r="C27" s="862" t="s">
        <v>456</v>
      </c>
      <c r="D27" s="232">
        <v>1.1515395421748051</v>
      </c>
      <c r="E27" s="233">
        <v>2.0152166629489066</v>
      </c>
      <c r="F27" s="233">
        <v>1.2579381367623044</v>
      </c>
      <c r="G27" s="233">
        <v>1.6470130862124261</v>
      </c>
      <c r="H27" s="234">
        <v>2.1175921438031842</v>
      </c>
      <c r="I27" s="232">
        <v>2.8041639516418946</v>
      </c>
      <c r="J27" s="233">
        <v>2.7661917812864898</v>
      </c>
      <c r="K27" s="233">
        <v>3.8045262880150625</v>
      </c>
      <c r="L27" s="233">
        <v>4.4155339059828167</v>
      </c>
      <c r="M27" s="234">
        <v>1.337005157096768</v>
      </c>
      <c r="N27" s="230"/>
      <c r="O27" s="161">
        <f t="shared" si="0"/>
        <v>6.071707428098442</v>
      </c>
      <c r="P27" s="162">
        <f t="shared" si="1"/>
        <v>2.1175921438031842</v>
      </c>
      <c r="Q27" s="163">
        <f t="shared" si="2"/>
        <v>8.1892995719016266</v>
      </c>
      <c r="R27" s="231"/>
      <c r="S27" s="161">
        <f t="shared" si="3"/>
        <v>15.12742108402303</v>
      </c>
      <c r="T27" s="165">
        <f t="shared" si="4"/>
        <v>0.84721793985005134</v>
      </c>
    </row>
    <row r="28" spans="1:20" s="239" customFormat="1" ht="15" customHeight="1">
      <c r="A28" s="859"/>
      <c r="B28" s="1932"/>
      <c r="C28" s="863" t="s">
        <v>457</v>
      </c>
      <c r="D28" s="232">
        <v>0.68531117484757709</v>
      </c>
      <c r="E28" s="233">
        <v>0.57054391942919724</v>
      </c>
      <c r="F28" s="233">
        <v>2.2033037400495821</v>
      </c>
      <c r="G28" s="233">
        <v>2.3447207071068257</v>
      </c>
      <c r="H28" s="234">
        <v>0.3651020937591698</v>
      </c>
      <c r="I28" s="232">
        <v>0.538591343961069</v>
      </c>
      <c r="J28" s="233">
        <v>0.62088581955283495</v>
      </c>
      <c r="K28" s="233">
        <v>1.3625483147734012</v>
      </c>
      <c r="L28" s="233">
        <v>0.81644387082852687</v>
      </c>
      <c r="M28" s="234">
        <v>0.90942526584505512</v>
      </c>
      <c r="N28" s="230"/>
      <c r="O28" s="161">
        <f t="shared" si="0"/>
        <v>5.8038795414331821</v>
      </c>
      <c r="P28" s="162">
        <f t="shared" si="1"/>
        <v>0.3651020937591698</v>
      </c>
      <c r="Q28" s="163">
        <f t="shared" si="2"/>
        <v>6.1689816351923517</v>
      </c>
      <c r="R28" s="231"/>
      <c r="S28" s="161">
        <f t="shared" si="3"/>
        <v>4.2478946149608872</v>
      </c>
      <c r="T28" s="165">
        <f t="shared" si="4"/>
        <v>-0.31141072122377361</v>
      </c>
    </row>
    <row r="29" spans="1:20" s="239" customFormat="1" ht="15" customHeight="1">
      <c r="A29" s="859"/>
      <c r="B29" s="1932" t="s">
        <v>426</v>
      </c>
      <c r="C29" s="862" t="s">
        <v>454</v>
      </c>
      <c r="D29" s="232">
        <v>4.5164012503985038</v>
      </c>
      <c r="E29" s="233">
        <v>2.7911279343349804</v>
      </c>
      <c r="F29" s="233">
        <v>1.6062992602216393</v>
      </c>
      <c r="G29" s="233">
        <v>1.5523465068388831</v>
      </c>
      <c r="H29" s="234">
        <v>6.0921200472344879</v>
      </c>
      <c r="I29" s="232">
        <v>5.2673398639000242</v>
      </c>
      <c r="J29" s="233">
        <v>5.3620947363569913</v>
      </c>
      <c r="K29" s="233">
        <v>9.642654679855756</v>
      </c>
      <c r="L29" s="233">
        <v>3.5344921376583591</v>
      </c>
      <c r="M29" s="234">
        <v>3.4001243367731444</v>
      </c>
      <c r="N29" s="230"/>
      <c r="O29" s="161">
        <f t="shared" si="0"/>
        <v>10.466174951794008</v>
      </c>
      <c r="P29" s="162">
        <f t="shared" si="1"/>
        <v>6.0921200472344879</v>
      </c>
      <c r="Q29" s="163">
        <f t="shared" si="2"/>
        <v>16.558294999028497</v>
      </c>
      <c r="R29" s="231"/>
      <c r="S29" s="161">
        <f t="shared" si="3"/>
        <v>27.206705754544274</v>
      </c>
      <c r="T29" s="165">
        <f t="shared" si="4"/>
        <v>0.64308618466699241</v>
      </c>
    </row>
    <row r="30" spans="1:20" s="239" customFormat="1" ht="15" customHeight="1">
      <c r="A30" s="859"/>
      <c r="B30" s="1932"/>
      <c r="C30" s="862" t="s">
        <v>115</v>
      </c>
      <c r="D30" s="232">
        <v>2.2746686419985513</v>
      </c>
      <c r="E30" s="233">
        <v>4.5285317950926505</v>
      </c>
      <c r="F30" s="233">
        <v>3.9970783410269783</v>
      </c>
      <c r="G30" s="233">
        <v>3.9025881610515665</v>
      </c>
      <c r="H30" s="234">
        <v>0.75445026378038027</v>
      </c>
      <c r="I30" s="232">
        <v>2.9989008174314642</v>
      </c>
      <c r="J30" s="233">
        <v>1.4379104079686691</v>
      </c>
      <c r="K30" s="233">
        <v>2.0940678119530034</v>
      </c>
      <c r="L30" s="233">
        <v>0.83461642498041833</v>
      </c>
      <c r="M30" s="234">
        <v>0</v>
      </c>
      <c r="N30" s="230"/>
      <c r="O30" s="161">
        <f t="shared" si="0"/>
        <v>14.702866939169747</v>
      </c>
      <c r="P30" s="162">
        <f t="shared" si="1"/>
        <v>0.75445026378038027</v>
      </c>
      <c r="Q30" s="163">
        <f t="shared" si="2"/>
        <v>15.457317202950128</v>
      </c>
      <c r="R30" s="231"/>
      <c r="S30" s="161">
        <f t="shared" si="3"/>
        <v>7.3654954623335547</v>
      </c>
      <c r="T30" s="165">
        <f t="shared" si="4"/>
        <v>-0.52349457764069163</v>
      </c>
    </row>
    <row r="31" spans="1:20" s="239" customFormat="1" ht="15" customHeight="1">
      <c r="A31" s="859"/>
      <c r="B31" s="1932"/>
      <c r="C31" s="863" t="s">
        <v>458</v>
      </c>
      <c r="D31" s="232">
        <v>0</v>
      </c>
      <c r="E31" s="233">
        <v>0</v>
      </c>
      <c r="F31" s="233">
        <v>0</v>
      </c>
      <c r="G31" s="233">
        <v>0</v>
      </c>
      <c r="H31" s="234">
        <v>0</v>
      </c>
      <c r="I31" s="232">
        <v>0</v>
      </c>
      <c r="J31" s="233">
        <v>0</v>
      </c>
      <c r="K31" s="233">
        <v>0</v>
      </c>
      <c r="L31" s="233">
        <v>0</v>
      </c>
      <c r="M31" s="234">
        <v>0</v>
      </c>
      <c r="N31" s="230"/>
      <c r="O31" s="161">
        <f t="shared" si="0"/>
        <v>0</v>
      </c>
      <c r="P31" s="162">
        <f t="shared" si="1"/>
        <v>0</v>
      </c>
      <c r="Q31" s="163">
        <f t="shared" si="2"/>
        <v>0</v>
      </c>
      <c r="R31" s="231"/>
      <c r="S31" s="161">
        <f t="shared" si="3"/>
        <v>0</v>
      </c>
      <c r="T31" s="165" t="str">
        <f t="shared" si="4"/>
        <v>0</v>
      </c>
    </row>
    <row r="32" spans="1:20" s="239" customFormat="1" ht="15" customHeight="1">
      <c r="A32" s="859"/>
      <c r="B32" s="1932"/>
      <c r="C32" s="863" t="s">
        <v>453</v>
      </c>
      <c r="D32" s="232">
        <v>1.0768725640752552</v>
      </c>
      <c r="E32" s="233">
        <v>4.9856304284907473</v>
      </c>
      <c r="F32" s="233">
        <v>3.7643387425906738</v>
      </c>
      <c r="G32" s="233">
        <v>5.6831053646087506</v>
      </c>
      <c r="H32" s="234">
        <v>7.1322381040794021</v>
      </c>
      <c r="I32" s="232">
        <v>4.6152325006506709</v>
      </c>
      <c r="J32" s="233">
        <v>1.3168071912928616</v>
      </c>
      <c r="K32" s="233">
        <v>4.9303033138373653</v>
      </c>
      <c r="L32" s="233">
        <v>4.6697834198224006</v>
      </c>
      <c r="M32" s="234">
        <v>4.9476903570576951</v>
      </c>
      <c r="N32" s="230"/>
      <c r="O32" s="161">
        <f t="shared" si="0"/>
        <v>15.509947099765427</v>
      </c>
      <c r="P32" s="162">
        <f t="shared" si="1"/>
        <v>7.1322381040794021</v>
      </c>
      <c r="Q32" s="163">
        <f t="shared" si="2"/>
        <v>22.642185203844829</v>
      </c>
      <c r="R32" s="231"/>
      <c r="S32" s="161">
        <f t="shared" si="3"/>
        <v>20.479816782660993</v>
      </c>
      <c r="T32" s="165">
        <f t="shared" si="4"/>
        <v>-9.5501754875525327E-2</v>
      </c>
    </row>
    <row r="33" spans="1:20" s="239" customFormat="1" ht="15" customHeight="1">
      <c r="A33" s="859"/>
      <c r="B33" s="1932"/>
      <c r="C33" s="863" t="s">
        <v>456</v>
      </c>
      <c r="D33" s="232">
        <v>0.3487470005793884</v>
      </c>
      <c r="E33" s="233">
        <v>1.5711627570449711</v>
      </c>
      <c r="F33" s="233">
        <v>0.48176895929979924</v>
      </c>
      <c r="G33" s="233">
        <v>3.7991963210233144</v>
      </c>
      <c r="H33" s="234">
        <v>2.8231775828647625</v>
      </c>
      <c r="I33" s="232">
        <v>4.8568522979232274</v>
      </c>
      <c r="J33" s="233">
        <v>6.0464839095762519</v>
      </c>
      <c r="K33" s="233">
        <v>5.132868054635896</v>
      </c>
      <c r="L33" s="233">
        <v>4.8183868118889359</v>
      </c>
      <c r="M33" s="234">
        <v>2.2157993350521155</v>
      </c>
      <c r="N33" s="230"/>
      <c r="O33" s="161">
        <f t="shared" si="0"/>
        <v>6.2008750379474726</v>
      </c>
      <c r="P33" s="162">
        <f t="shared" si="1"/>
        <v>2.8231775828647625</v>
      </c>
      <c r="Q33" s="163">
        <f t="shared" si="2"/>
        <v>9.0240526208122347</v>
      </c>
      <c r="R33" s="231"/>
      <c r="S33" s="161">
        <f t="shared" si="3"/>
        <v>23.070390409076424</v>
      </c>
      <c r="T33" s="165">
        <f t="shared" si="4"/>
        <v>1.5565443131247954</v>
      </c>
    </row>
    <row r="34" spans="1:20" s="239" customFormat="1" ht="15" customHeight="1">
      <c r="A34" s="859"/>
      <c r="B34" s="1932"/>
      <c r="C34" s="863" t="s">
        <v>457</v>
      </c>
      <c r="D34" s="232">
        <v>0.56440142013187866</v>
      </c>
      <c r="E34" s="233">
        <v>2.2542601623602696</v>
      </c>
      <c r="F34" s="233">
        <v>1.6974241654593003</v>
      </c>
      <c r="G34" s="233">
        <v>2.0570290322122262</v>
      </c>
      <c r="H34" s="234">
        <v>0.1477865355103585</v>
      </c>
      <c r="I34" s="232">
        <v>0.40038729204692436</v>
      </c>
      <c r="J34" s="233">
        <v>0.37795542265531601</v>
      </c>
      <c r="K34" s="233">
        <v>0.36695113527213846</v>
      </c>
      <c r="L34" s="233">
        <v>0.35100690770204507</v>
      </c>
      <c r="M34" s="234">
        <v>0.35368715816933477</v>
      </c>
      <c r="N34" s="230"/>
      <c r="O34" s="161">
        <f t="shared" si="0"/>
        <v>6.5731147801636745</v>
      </c>
      <c r="P34" s="162">
        <f t="shared" si="1"/>
        <v>0.1477865355103585</v>
      </c>
      <c r="Q34" s="163">
        <f t="shared" si="2"/>
        <v>6.7209013156740331</v>
      </c>
      <c r="R34" s="231"/>
      <c r="S34" s="161">
        <f t="shared" si="3"/>
        <v>1.8499879158457586</v>
      </c>
      <c r="T34" s="165">
        <f t="shared" si="4"/>
        <v>-0.72474109811263832</v>
      </c>
    </row>
    <row r="35" spans="1:20" s="239" customFormat="1" ht="15" customHeight="1" thickBot="1">
      <c r="A35" s="859"/>
      <c r="B35" s="864" t="s">
        <v>459</v>
      </c>
      <c r="C35" s="865"/>
      <c r="D35" s="235">
        <v>33.213950233916712</v>
      </c>
      <c r="E35" s="236">
        <v>41.722922359321927</v>
      </c>
      <c r="F35" s="236">
        <v>54.570303711593894</v>
      </c>
      <c r="G35" s="236">
        <v>58.390471271983976</v>
      </c>
      <c r="H35" s="237">
        <v>47.792479326937006</v>
      </c>
      <c r="I35" s="235">
        <v>63.4579978878117</v>
      </c>
      <c r="J35" s="236">
        <v>71.636496457784119</v>
      </c>
      <c r="K35" s="236">
        <v>75.697655676167031</v>
      </c>
      <c r="L35" s="236">
        <v>67.88411055475612</v>
      </c>
      <c r="M35" s="237">
        <v>71.261864989235008</v>
      </c>
      <c r="N35" s="230"/>
      <c r="O35" s="186">
        <f t="shared" si="0"/>
        <v>187.8976475768165</v>
      </c>
      <c r="P35" s="187">
        <f t="shared" si="1"/>
        <v>47.792479326937006</v>
      </c>
      <c r="Q35" s="188">
        <f t="shared" si="2"/>
        <v>235.69012690375351</v>
      </c>
      <c r="R35" s="231"/>
      <c r="S35" s="186">
        <f t="shared" si="3"/>
        <v>349.93812556575398</v>
      </c>
      <c r="T35" s="189">
        <f t="shared" si="4"/>
        <v>0.48473816091861505</v>
      </c>
    </row>
    <row r="36" spans="1:20" s="239" customFormat="1" ht="12.75">
      <c r="A36" s="859"/>
      <c r="B36" s="866"/>
      <c r="C36" s="866"/>
      <c r="D36" s="238"/>
      <c r="E36" s="238"/>
      <c r="F36" s="238"/>
      <c r="G36" s="238"/>
      <c r="H36" s="238"/>
      <c r="I36" s="238"/>
      <c r="J36" s="238"/>
      <c r="K36" s="238"/>
      <c r="L36" s="238"/>
      <c r="M36" s="238"/>
      <c r="N36" s="230"/>
      <c r="O36" s="230"/>
      <c r="P36" s="230"/>
      <c r="Q36" s="230"/>
    </row>
    <row r="37" spans="1:20" s="239" customFormat="1" ht="12.75">
      <c r="A37" s="859"/>
      <c r="B37" s="230"/>
      <c r="C37" s="230"/>
      <c r="D37" s="230"/>
      <c r="E37" s="230"/>
      <c r="F37" s="230"/>
      <c r="G37" s="230"/>
      <c r="H37" s="230"/>
      <c r="I37" s="230"/>
      <c r="J37" s="230"/>
      <c r="K37" s="230"/>
      <c r="L37" s="230"/>
      <c r="M37" s="230"/>
      <c r="N37" s="230"/>
      <c r="O37" s="230"/>
      <c r="P37" s="230"/>
      <c r="Q37" s="230"/>
    </row>
    <row r="38" spans="1:20" s="239" customFormat="1" ht="15" customHeight="1">
      <c r="A38" s="859"/>
      <c r="B38" s="857" t="s">
        <v>460</v>
      </c>
      <c r="C38" s="230"/>
      <c r="D38" s="230"/>
      <c r="E38" s="230"/>
      <c r="F38" s="230"/>
      <c r="G38" s="230"/>
      <c r="H38" s="230"/>
      <c r="I38" s="230"/>
      <c r="J38" s="230"/>
      <c r="K38" s="230"/>
      <c r="L38" s="230"/>
      <c r="M38" s="230"/>
      <c r="O38" s="230"/>
      <c r="P38" s="230"/>
      <c r="Q38" s="230"/>
    </row>
    <row r="39" spans="1:20" s="239" customFormat="1" ht="13.5" thickBot="1">
      <c r="A39" s="859"/>
      <c r="B39" s="230"/>
      <c r="C39" s="230"/>
      <c r="D39" s="230"/>
      <c r="E39" s="230"/>
      <c r="F39" s="230"/>
      <c r="G39" s="230"/>
      <c r="H39" s="230"/>
      <c r="I39" s="230"/>
      <c r="J39" s="230"/>
      <c r="K39" s="230"/>
      <c r="L39" s="230"/>
      <c r="M39" s="230"/>
      <c r="N39" s="231"/>
      <c r="O39" s="230"/>
      <c r="P39" s="230"/>
      <c r="Q39" s="230"/>
    </row>
    <row r="40" spans="1:20" s="239" customFormat="1" ht="15" customHeight="1">
      <c r="A40" s="859"/>
      <c r="B40" s="1933" t="s">
        <v>444</v>
      </c>
      <c r="C40" s="1934"/>
      <c r="D40" s="240" t="s">
        <v>445</v>
      </c>
      <c r="E40" s="240"/>
      <c r="F40" s="240"/>
      <c r="G40" s="240"/>
      <c r="H40" s="241"/>
      <c r="I40" s="242" t="s">
        <v>446</v>
      </c>
      <c r="J40" s="240"/>
      <c r="K40" s="240"/>
      <c r="L40" s="240"/>
      <c r="M40" s="241"/>
      <c r="N40" s="231"/>
      <c r="O40" s="243" t="s">
        <v>211</v>
      </c>
      <c r="P40" s="244"/>
      <c r="Q40" s="245"/>
      <c r="R40" s="231"/>
      <c r="S40" s="243" t="s">
        <v>212</v>
      </c>
      <c r="T40" s="245"/>
    </row>
    <row r="41" spans="1:20" s="239" customFormat="1" ht="15" customHeight="1">
      <c r="A41" s="859"/>
      <c r="B41" s="1935"/>
      <c r="C41" s="1936"/>
      <c r="D41" s="246" t="s">
        <v>99</v>
      </c>
      <c r="E41" s="247" t="s">
        <v>100</v>
      </c>
      <c r="F41" s="247" t="s">
        <v>101</v>
      </c>
      <c r="G41" s="247" t="s">
        <v>102</v>
      </c>
      <c r="H41" s="248" t="s">
        <v>64</v>
      </c>
      <c r="I41" s="249" t="s">
        <v>213</v>
      </c>
      <c r="J41" s="247" t="s">
        <v>214</v>
      </c>
      <c r="K41" s="247" t="s">
        <v>215</v>
      </c>
      <c r="L41" s="247" t="s">
        <v>216</v>
      </c>
      <c r="M41" s="248" t="s">
        <v>217</v>
      </c>
      <c r="N41" s="231"/>
      <c r="O41" s="250" t="s">
        <v>218</v>
      </c>
      <c r="P41" s="251" t="s">
        <v>219</v>
      </c>
      <c r="Q41" s="252" t="s">
        <v>220</v>
      </c>
      <c r="R41" s="231"/>
      <c r="S41" s="250" t="s">
        <v>219</v>
      </c>
      <c r="T41" s="252" t="s">
        <v>221</v>
      </c>
    </row>
    <row r="42" spans="1:20" s="239" customFormat="1" ht="15" customHeight="1">
      <c r="A42" s="859"/>
      <c r="B42" s="1937"/>
      <c r="C42" s="1938"/>
      <c r="D42" s="246" t="s">
        <v>223</v>
      </c>
      <c r="E42" s="247" t="s">
        <v>223</v>
      </c>
      <c r="F42" s="247" t="s">
        <v>223</v>
      </c>
      <c r="G42" s="247" t="s">
        <v>223</v>
      </c>
      <c r="H42" s="248" t="s">
        <v>223</v>
      </c>
      <c r="I42" s="246" t="s">
        <v>223</v>
      </c>
      <c r="J42" s="247" t="s">
        <v>223</v>
      </c>
      <c r="K42" s="247" t="s">
        <v>223</v>
      </c>
      <c r="L42" s="247" t="s">
        <v>223</v>
      </c>
      <c r="M42" s="248" t="s">
        <v>223</v>
      </c>
      <c r="N42" s="230"/>
      <c r="O42" s="253"/>
      <c r="P42" s="254"/>
      <c r="Q42" s="255"/>
      <c r="R42" s="231"/>
      <c r="S42" s="256"/>
      <c r="T42" s="257"/>
    </row>
    <row r="43" spans="1:20" s="239" customFormat="1" ht="15" customHeight="1">
      <c r="A43" s="859"/>
      <c r="B43" s="1939" t="s">
        <v>447</v>
      </c>
      <c r="C43" s="861" t="s">
        <v>448</v>
      </c>
      <c r="D43" s="258">
        <v>0.29943695880503757</v>
      </c>
      <c r="E43" s="258">
        <v>0.34314211987273269</v>
      </c>
      <c r="F43" s="258">
        <v>0.49641498621763214</v>
      </c>
      <c r="G43" s="258">
        <v>0.7245404419894147</v>
      </c>
      <c r="H43" s="259">
        <v>0</v>
      </c>
      <c r="I43" s="260">
        <v>0</v>
      </c>
      <c r="J43" s="261">
        <v>0</v>
      </c>
      <c r="K43" s="261">
        <v>0</v>
      </c>
      <c r="L43" s="261">
        <v>0</v>
      </c>
      <c r="M43" s="262">
        <v>0</v>
      </c>
      <c r="N43" s="230"/>
      <c r="O43" s="161">
        <f t="shared" ref="O43:O68" si="5">SUM(D43:G43)</f>
        <v>1.8635345068848173</v>
      </c>
      <c r="P43" s="162">
        <f t="shared" ref="P43:P68" si="6">H43</f>
        <v>0</v>
      </c>
      <c r="Q43" s="163">
        <f t="shared" ref="Q43:Q68" si="7">SUM(D43:H43)</f>
        <v>1.8635345068848173</v>
      </c>
      <c r="R43" s="231"/>
      <c r="S43" s="161">
        <f t="shared" ref="S43:S68" si="8">SUM(I43:M43)</f>
        <v>0</v>
      </c>
      <c r="T43" s="165">
        <f t="shared" ref="T43:T68" si="9">IF(Q43&lt;&gt;0,(S43-Q43)/Q43,"0")</f>
        <v>-1</v>
      </c>
    </row>
    <row r="44" spans="1:20" s="239" customFormat="1" ht="15" customHeight="1">
      <c r="A44" s="859"/>
      <c r="B44" s="1940"/>
      <c r="C44" s="862" t="s">
        <v>449</v>
      </c>
      <c r="D44" s="263">
        <v>1.665766641298013</v>
      </c>
      <c r="E44" s="263">
        <v>1.4447684713936488</v>
      </c>
      <c r="F44" s="263">
        <v>3.4424859961766026</v>
      </c>
      <c r="G44" s="263">
        <v>2.755198980953748</v>
      </c>
      <c r="H44" s="264">
        <v>2.2312420944391329</v>
      </c>
      <c r="I44" s="265">
        <v>3.9538919436549795</v>
      </c>
      <c r="J44" s="266">
        <v>3.3223401237012431</v>
      </c>
      <c r="K44" s="266">
        <v>3.385176631815737</v>
      </c>
      <c r="L44" s="266">
        <v>2.9094320841469639</v>
      </c>
      <c r="M44" s="267">
        <v>2.875869987811889</v>
      </c>
      <c r="N44" s="230"/>
      <c r="O44" s="161">
        <f t="shared" si="5"/>
        <v>9.3082200898220133</v>
      </c>
      <c r="P44" s="162">
        <f t="shared" si="6"/>
        <v>2.2312420944391329</v>
      </c>
      <c r="Q44" s="163">
        <f t="shared" si="7"/>
        <v>11.539462184261147</v>
      </c>
      <c r="R44" s="231"/>
      <c r="S44" s="161">
        <f t="shared" si="8"/>
        <v>16.44671077113081</v>
      </c>
      <c r="T44" s="165">
        <f t="shared" si="9"/>
        <v>0.42525799803414893</v>
      </c>
    </row>
    <row r="45" spans="1:20" s="239" customFormat="1" ht="15" customHeight="1">
      <c r="A45" s="859"/>
      <c r="B45" s="1940" t="s">
        <v>450</v>
      </c>
      <c r="C45" s="862" t="s">
        <v>448</v>
      </c>
      <c r="D45" s="263">
        <v>0</v>
      </c>
      <c r="E45" s="263">
        <v>0</v>
      </c>
      <c r="F45" s="263">
        <v>0</v>
      </c>
      <c r="G45" s="263">
        <v>0</v>
      </c>
      <c r="H45" s="264">
        <v>0</v>
      </c>
      <c r="I45" s="265">
        <v>0</v>
      </c>
      <c r="J45" s="266">
        <v>0</v>
      </c>
      <c r="K45" s="266">
        <v>0</v>
      </c>
      <c r="L45" s="266">
        <v>0</v>
      </c>
      <c r="M45" s="267">
        <v>0</v>
      </c>
      <c r="N45" s="230"/>
      <c r="O45" s="161">
        <f t="shared" si="5"/>
        <v>0</v>
      </c>
      <c r="P45" s="162">
        <f t="shared" si="6"/>
        <v>0</v>
      </c>
      <c r="Q45" s="163">
        <f t="shared" si="7"/>
        <v>0</v>
      </c>
      <c r="R45" s="231"/>
      <c r="S45" s="161">
        <f t="shared" si="8"/>
        <v>0</v>
      </c>
      <c r="T45" s="165" t="str">
        <f t="shared" si="9"/>
        <v>0</v>
      </c>
    </row>
    <row r="46" spans="1:20" s="239" customFormat="1" ht="15" customHeight="1">
      <c r="A46" s="859"/>
      <c r="B46" s="1940"/>
      <c r="C46" s="862" t="s">
        <v>449</v>
      </c>
      <c r="D46" s="263">
        <v>2.1702727720480052E-2</v>
      </c>
      <c r="E46" s="266">
        <v>-7.4288441301824711E-3</v>
      </c>
      <c r="F46" s="266">
        <v>0.26690592453788359</v>
      </c>
      <c r="G46" s="266">
        <v>6.684404033423455E-2</v>
      </c>
      <c r="H46" s="267">
        <v>0</v>
      </c>
      <c r="I46" s="265">
        <v>0</v>
      </c>
      <c r="J46" s="266">
        <v>0</v>
      </c>
      <c r="K46" s="266">
        <v>0</v>
      </c>
      <c r="L46" s="266">
        <v>0</v>
      </c>
      <c r="M46" s="267">
        <v>0</v>
      </c>
      <c r="N46" s="230"/>
      <c r="O46" s="161">
        <f t="shared" si="5"/>
        <v>0.34802384846241574</v>
      </c>
      <c r="P46" s="162">
        <f t="shared" si="6"/>
        <v>0</v>
      </c>
      <c r="Q46" s="163">
        <f t="shared" si="7"/>
        <v>0.34802384846241574</v>
      </c>
      <c r="R46" s="231"/>
      <c r="S46" s="161">
        <f t="shared" si="8"/>
        <v>0</v>
      </c>
      <c r="T46" s="165">
        <f t="shared" si="9"/>
        <v>-1</v>
      </c>
    </row>
    <row r="47" spans="1:20" s="239" customFormat="1" ht="15" customHeight="1">
      <c r="A47" s="859"/>
      <c r="B47" s="1932" t="s">
        <v>368</v>
      </c>
      <c r="C47" s="862" t="s">
        <v>451</v>
      </c>
      <c r="D47" s="268">
        <v>1.1413151966039032</v>
      </c>
      <c r="E47" s="269">
        <v>1.2333847110440672</v>
      </c>
      <c r="F47" s="269">
        <v>2.1560512995080727</v>
      </c>
      <c r="G47" s="269">
        <v>1.0860318577015582</v>
      </c>
      <c r="H47" s="270">
        <v>1.6872479589838507</v>
      </c>
      <c r="I47" s="271">
        <v>7.0247689079204241</v>
      </c>
      <c r="J47" s="269">
        <v>5.6554121787983513</v>
      </c>
      <c r="K47" s="269">
        <v>4.6798948236076177</v>
      </c>
      <c r="L47" s="269">
        <v>1.6282939306373858</v>
      </c>
      <c r="M47" s="270">
        <v>1.6095105543009371</v>
      </c>
      <c r="N47" s="230"/>
      <c r="O47" s="161">
        <f t="shared" si="5"/>
        <v>5.6167830648576018</v>
      </c>
      <c r="P47" s="162">
        <f t="shared" si="6"/>
        <v>1.6872479589838507</v>
      </c>
      <c r="Q47" s="163">
        <f t="shared" si="7"/>
        <v>7.3040310238414525</v>
      </c>
      <c r="R47" s="231"/>
      <c r="S47" s="161">
        <f t="shared" si="8"/>
        <v>20.597880395264717</v>
      </c>
      <c r="T47" s="165">
        <f t="shared" si="9"/>
        <v>1.8200702225976513</v>
      </c>
    </row>
    <row r="48" spans="1:20" s="239" customFormat="1" ht="15" customHeight="1">
      <c r="A48" s="859"/>
      <c r="B48" s="1932"/>
      <c r="C48" s="862" t="s">
        <v>452</v>
      </c>
      <c r="D48" s="263">
        <v>3.7012929872618234</v>
      </c>
      <c r="E48" s="266">
        <v>4.7151035774017549</v>
      </c>
      <c r="F48" s="266">
        <v>2.7613224029886569</v>
      </c>
      <c r="G48" s="266">
        <v>2.8830735955112941</v>
      </c>
      <c r="H48" s="267">
        <v>2.3914399863204299</v>
      </c>
      <c r="I48" s="265">
        <v>1.5144356451814061</v>
      </c>
      <c r="J48" s="266">
        <v>1.9920928962078686</v>
      </c>
      <c r="K48" s="266">
        <v>1.9988402710167348</v>
      </c>
      <c r="L48" s="266">
        <v>2.1716932980132801</v>
      </c>
      <c r="M48" s="267">
        <v>2.4502045423864742</v>
      </c>
      <c r="N48" s="272"/>
      <c r="O48" s="161">
        <f t="shared" si="5"/>
        <v>14.060792563163531</v>
      </c>
      <c r="P48" s="162">
        <f t="shared" si="6"/>
        <v>2.3914399863204299</v>
      </c>
      <c r="Q48" s="163">
        <f t="shared" si="7"/>
        <v>16.452232549483959</v>
      </c>
      <c r="R48" s="231"/>
      <c r="S48" s="161">
        <f t="shared" si="8"/>
        <v>10.127266652805764</v>
      </c>
      <c r="T48" s="165">
        <f t="shared" si="9"/>
        <v>-0.38444423136217976</v>
      </c>
    </row>
    <row r="49" spans="1:20" s="239" customFormat="1" ht="15" customHeight="1">
      <c r="A49" s="859"/>
      <c r="B49" s="1932"/>
      <c r="C49" s="863" t="s">
        <v>453</v>
      </c>
      <c r="D49" s="263">
        <v>0.30818995772026564</v>
      </c>
      <c r="E49" s="266">
        <v>0.14565821518070896</v>
      </c>
      <c r="F49" s="266">
        <v>0.45302301110745147</v>
      </c>
      <c r="G49" s="266">
        <v>0.82814625118588114</v>
      </c>
      <c r="H49" s="267">
        <v>1.1744271347498312</v>
      </c>
      <c r="I49" s="265">
        <v>1.0038052309211392</v>
      </c>
      <c r="J49" s="266">
        <v>1.2224228043829326</v>
      </c>
      <c r="K49" s="266">
        <v>1.2811180734484859</v>
      </c>
      <c r="L49" s="266">
        <v>1.4530426233748304</v>
      </c>
      <c r="M49" s="267">
        <v>1.7363471845209753</v>
      </c>
      <c r="N49" s="272"/>
      <c r="O49" s="161">
        <f t="shared" si="5"/>
        <v>1.7350174351943073</v>
      </c>
      <c r="P49" s="162">
        <f t="shared" si="6"/>
        <v>1.1744271347498312</v>
      </c>
      <c r="Q49" s="163">
        <f t="shared" si="7"/>
        <v>2.9094445699441387</v>
      </c>
      <c r="R49" s="231"/>
      <c r="S49" s="161">
        <f t="shared" si="8"/>
        <v>6.6967359166483629</v>
      </c>
      <c r="T49" s="165">
        <f t="shared" si="9"/>
        <v>1.3017231487510141</v>
      </c>
    </row>
    <row r="50" spans="1:20" s="239" customFormat="1" ht="15" customHeight="1">
      <c r="A50" s="859"/>
      <c r="B50" s="1932" t="s">
        <v>245</v>
      </c>
      <c r="C50" s="862" t="s">
        <v>454</v>
      </c>
      <c r="D50" s="268">
        <v>4.8417882458104975</v>
      </c>
      <c r="E50" s="269">
        <v>3.6531191082967447</v>
      </c>
      <c r="F50" s="269">
        <v>3.9509381048745129</v>
      </c>
      <c r="G50" s="269">
        <v>4.6011943559342603</v>
      </c>
      <c r="H50" s="270">
        <v>5.6460014732326984</v>
      </c>
      <c r="I50" s="271">
        <v>7.6997081336009137</v>
      </c>
      <c r="J50" s="269">
        <v>15.421889915557122</v>
      </c>
      <c r="K50" s="269">
        <v>9.6504629232756525</v>
      </c>
      <c r="L50" s="269">
        <v>5.3692209467833738</v>
      </c>
      <c r="M50" s="270">
        <v>5.3412732126506626</v>
      </c>
      <c r="N50" s="230"/>
      <c r="O50" s="161">
        <f t="shared" si="5"/>
        <v>17.047039814916015</v>
      </c>
      <c r="P50" s="162">
        <f t="shared" si="6"/>
        <v>5.6460014732326984</v>
      </c>
      <c r="Q50" s="163">
        <f t="shared" si="7"/>
        <v>22.693041288148713</v>
      </c>
      <c r="R50" s="231"/>
      <c r="S50" s="161">
        <f t="shared" si="8"/>
        <v>43.48255513186772</v>
      </c>
      <c r="T50" s="165">
        <f t="shared" si="9"/>
        <v>0.91611845145569759</v>
      </c>
    </row>
    <row r="51" spans="1:20" s="239" customFormat="1" ht="15" customHeight="1">
      <c r="A51" s="859"/>
      <c r="B51" s="1932"/>
      <c r="C51" s="862" t="s">
        <v>115</v>
      </c>
      <c r="D51" s="263">
        <v>0.92808627259375609</v>
      </c>
      <c r="E51" s="266">
        <v>1.5841372278994461</v>
      </c>
      <c r="F51" s="266">
        <v>2.6594733765620209</v>
      </c>
      <c r="G51" s="266">
        <v>1.4469851901415287</v>
      </c>
      <c r="H51" s="267">
        <v>1.2286970338918062</v>
      </c>
      <c r="I51" s="265">
        <v>1.9176566476852011</v>
      </c>
      <c r="J51" s="266">
        <v>3.1005323688342874</v>
      </c>
      <c r="K51" s="266">
        <v>2.7478954260034727</v>
      </c>
      <c r="L51" s="266">
        <v>3.9867672148020965</v>
      </c>
      <c r="M51" s="267">
        <v>4.6017401597832936</v>
      </c>
      <c r="N51" s="230"/>
      <c r="O51" s="161">
        <f t="shared" si="5"/>
        <v>6.6186820671967519</v>
      </c>
      <c r="P51" s="162">
        <f t="shared" si="6"/>
        <v>1.2286970338918062</v>
      </c>
      <c r="Q51" s="163">
        <f t="shared" si="7"/>
        <v>7.8473791010885581</v>
      </c>
      <c r="R51" s="231"/>
      <c r="S51" s="161">
        <f t="shared" si="8"/>
        <v>16.35459181710835</v>
      </c>
      <c r="T51" s="165">
        <f t="shared" si="9"/>
        <v>1.0840833106737133</v>
      </c>
    </row>
    <row r="52" spans="1:20" s="239" customFormat="1" ht="15" customHeight="1">
      <c r="A52" s="859"/>
      <c r="B52" s="1932"/>
      <c r="C52" s="863" t="s">
        <v>455</v>
      </c>
      <c r="D52" s="263">
        <v>0</v>
      </c>
      <c r="E52" s="266">
        <v>0</v>
      </c>
      <c r="F52" s="266">
        <v>0</v>
      </c>
      <c r="G52" s="266">
        <v>0</v>
      </c>
      <c r="H52" s="267">
        <v>0</v>
      </c>
      <c r="I52" s="265">
        <v>0</v>
      </c>
      <c r="J52" s="266">
        <v>0</v>
      </c>
      <c r="K52" s="266">
        <v>0</v>
      </c>
      <c r="L52" s="266">
        <v>0</v>
      </c>
      <c r="M52" s="267">
        <v>0</v>
      </c>
      <c r="N52" s="230"/>
      <c r="O52" s="161">
        <f t="shared" si="5"/>
        <v>0</v>
      </c>
      <c r="P52" s="162">
        <f t="shared" si="6"/>
        <v>0</v>
      </c>
      <c r="Q52" s="163">
        <f t="shared" si="7"/>
        <v>0</v>
      </c>
      <c r="R52" s="231"/>
      <c r="S52" s="161">
        <f t="shared" si="8"/>
        <v>0</v>
      </c>
      <c r="T52" s="165" t="str">
        <f t="shared" si="9"/>
        <v>0</v>
      </c>
    </row>
    <row r="53" spans="1:20" s="239" customFormat="1" ht="15" customHeight="1">
      <c r="A53" s="859"/>
      <c r="B53" s="1932"/>
      <c r="C53" s="863" t="s">
        <v>453</v>
      </c>
      <c r="D53" s="263">
        <v>2.3016836325420482</v>
      </c>
      <c r="E53" s="266">
        <v>2.8986070473050329</v>
      </c>
      <c r="F53" s="266">
        <v>3.6869017861568509</v>
      </c>
      <c r="G53" s="266">
        <v>3.5239777257285776</v>
      </c>
      <c r="H53" s="267">
        <v>3.4977983362719058</v>
      </c>
      <c r="I53" s="265">
        <v>3.1531944804966363</v>
      </c>
      <c r="J53" s="266">
        <v>7.062181752481445</v>
      </c>
      <c r="K53" s="266">
        <v>5.4364236814138156</v>
      </c>
      <c r="L53" s="266">
        <v>10.656603296391349</v>
      </c>
      <c r="M53" s="267">
        <v>12.84042780640678</v>
      </c>
      <c r="N53" s="230"/>
      <c r="O53" s="161">
        <f t="shared" si="5"/>
        <v>12.411170191732509</v>
      </c>
      <c r="P53" s="162">
        <f t="shared" si="6"/>
        <v>3.4977983362719058</v>
      </c>
      <c r="Q53" s="163">
        <f t="shared" si="7"/>
        <v>15.908968528004415</v>
      </c>
      <c r="R53" s="231"/>
      <c r="S53" s="161">
        <f t="shared" si="8"/>
        <v>39.148831017190027</v>
      </c>
      <c r="T53" s="165">
        <f t="shared" si="9"/>
        <v>1.460802593724206</v>
      </c>
    </row>
    <row r="54" spans="1:20" s="239" customFormat="1" ht="15" customHeight="1">
      <c r="A54" s="859"/>
      <c r="B54" s="1932"/>
      <c r="C54" s="862" t="s">
        <v>456</v>
      </c>
      <c r="D54" s="263">
        <v>1.0001372383832423</v>
      </c>
      <c r="E54" s="266">
        <v>0.95540676470369701</v>
      </c>
      <c r="F54" s="266">
        <v>1.0293844000394241</v>
      </c>
      <c r="G54" s="266">
        <v>1.4716935021218946</v>
      </c>
      <c r="H54" s="267">
        <v>1.3006960361051128</v>
      </c>
      <c r="I54" s="265">
        <v>2.6568663880036083</v>
      </c>
      <c r="J54" s="266">
        <v>3.5988129199155261</v>
      </c>
      <c r="K54" s="266">
        <v>3.6863176784154232</v>
      </c>
      <c r="L54" s="266">
        <v>3.9746874259686211</v>
      </c>
      <c r="M54" s="267">
        <v>4.7387293249573874</v>
      </c>
      <c r="N54" s="230"/>
      <c r="O54" s="161">
        <f t="shared" si="5"/>
        <v>4.4566219052482579</v>
      </c>
      <c r="P54" s="162">
        <f t="shared" si="6"/>
        <v>1.3006960361051128</v>
      </c>
      <c r="Q54" s="163">
        <f t="shared" si="7"/>
        <v>5.7573179413533708</v>
      </c>
      <c r="R54" s="231"/>
      <c r="S54" s="161">
        <f t="shared" si="8"/>
        <v>18.655413737260567</v>
      </c>
      <c r="T54" s="165">
        <f t="shared" si="9"/>
        <v>2.2402959029348386</v>
      </c>
    </row>
    <row r="55" spans="1:20" s="239" customFormat="1" ht="15" customHeight="1">
      <c r="A55" s="859"/>
      <c r="B55" s="1932"/>
      <c r="C55" s="862" t="s">
        <v>457</v>
      </c>
      <c r="D55" s="263">
        <v>1.4808769402748174</v>
      </c>
      <c r="E55" s="266">
        <v>1.9551936125964231</v>
      </c>
      <c r="F55" s="266">
        <v>5.6965713049845066</v>
      </c>
      <c r="G55" s="266">
        <v>3.0705473673499872</v>
      </c>
      <c r="H55" s="267">
        <v>1.0268652916619312</v>
      </c>
      <c r="I55" s="265">
        <v>1.6146238173921243</v>
      </c>
      <c r="J55" s="266">
        <v>1.6197570730930588</v>
      </c>
      <c r="K55" s="266">
        <v>1.6756579622519376</v>
      </c>
      <c r="L55" s="266">
        <v>1.5679827545883862</v>
      </c>
      <c r="M55" s="267">
        <v>1.559821130102405</v>
      </c>
      <c r="N55" s="230"/>
      <c r="O55" s="161">
        <f t="shared" si="5"/>
        <v>12.203189225205733</v>
      </c>
      <c r="P55" s="162">
        <f t="shared" si="6"/>
        <v>1.0268652916619312</v>
      </c>
      <c r="Q55" s="163">
        <f t="shared" si="7"/>
        <v>13.230054516867664</v>
      </c>
      <c r="R55" s="231"/>
      <c r="S55" s="161">
        <f t="shared" si="8"/>
        <v>8.037842737427912</v>
      </c>
      <c r="T55" s="165">
        <f t="shared" si="9"/>
        <v>-0.39245581133622232</v>
      </c>
    </row>
    <row r="56" spans="1:20" s="239" customFormat="1" ht="15" customHeight="1">
      <c r="A56" s="859"/>
      <c r="B56" s="1932" t="s">
        <v>427</v>
      </c>
      <c r="C56" s="862" t="s">
        <v>454</v>
      </c>
      <c r="D56" s="268">
        <v>1.4128408490660982</v>
      </c>
      <c r="E56" s="269">
        <v>0.93899893474323826</v>
      </c>
      <c r="F56" s="269">
        <v>1.0668936591236149</v>
      </c>
      <c r="G56" s="269">
        <v>1.0231105445473696</v>
      </c>
      <c r="H56" s="270">
        <v>1.387387956284845</v>
      </c>
      <c r="I56" s="271">
        <v>2.8242609332095361</v>
      </c>
      <c r="J56" s="269">
        <v>1.695591796369188</v>
      </c>
      <c r="K56" s="269">
        <v>3.7480487341421096</v>
      </c>
      <c r="L56" s="269">
        <v>1.0464280597943092</v>
      </c>
      <c r="M56" s="270">
        <v>3.3829010906273407</v>
      </c>
      <c r="N56" s="230"/>
      <c r="O56" s="161">
        <f t="shared" si="5"/>
        <v>4.4418439874803211</v>
      </c>
      <c r="P56" s="162">
        <f t="shared" si="6"/>
        <v>1.387387956284845</v>
      </c>
      <c r="Q56" s="163">
        <f t="shared" si="7"/>
        <v>5.8292319437651656</v>
      </c>
      <c r="R56" s="231"/>
      <c r="S56" s="161">
        <f t="shared" si="8"/>
        <v>12.697230614142482</v>
      </c>
      <c r="T56" s="165">
        <f t="shared" si="9"/>
        <v>1.1781995872926614</v>
      </c>
    </row>
    <row r="57" spans="1:20" s="239" customFormat="1" ht="15" customHeight="1">
      <c r="A57" s="859"/>
      <c r="B57" s="1932"/>
      <c r="C57" s="862" t="s">
        <v>115</v>
      </c>
      <c r="D57" s="263">
        <v>1.757757926923027</v>
      </c>
      <c r="E57" s="266">
        <v>2.5538323936697078</v>
      </c>
      <c r="F57" s="266">
        <v>5.235244059931853</v>
      </c>
      <c r="G57" s="266">
        <v>7.0196003796643005</v>
      </c>
      <c r="H57" s="267">
        <v>0.88105557496978137</v>
      </c>
      <c r="I57" s="265">
        <v>1.9455756890812035</v>
      </c>
      <c r="J57" s="266">
        <v>2.23624537057314</v>
      </c>
      <c r="K57" s="266">
        <v>1.8877212367368394</v>
      </c>
      <c r="L57" s="266">
        <v>4.5740512748414446</v>
      </c>
      <c r="M57" s="267">
        <v>5.6648239721067855</v>
      </c>
      <c r="N57" s="230"/>
      <c r="O57" s="161">
        <f t="shared" si="5"/>
        <v>16.566434760188891</v>
      </c>
      <c r="P57" s="162">
        <f t="shared" si="6"/>
        <v>0.88105557496978137</v>
      </c>
      <c r="Q57" s="163">
        <f t="shared" si="7"/>
        <v>17.447490335158673</v>
      </c>
      <c r="R57" s="231"/>
      <c r="S57" s="161">
        <f t="shared" si="8"/>
        <v>16.308417543339413</v>
      </c>
      <c r="T57" s="165">
        <f t="shared" si="9"/>
        <v>-6.5285767175574744E-2</v>
      </c>
    </row>
    <row r="58" spans="1:20" s="239" customFormat="1" ht="15" customHeight="1">
      <c r="A58" s="859"/>
      <c r="B58" s="1932"/>
      <c r="C58" s="862" t="s">
        <v>455</v>
      </c>
      <c r="D58" s="263">
        <v>0</v>
      </c>
      <c r="E58" s="266">
        <v>0</v>
      </c>
      <c r="F58" s="266">
        <v>0</v>
      </c>
      <c r="G58" s="266">
        <v>0</v>
      </c>
      <c r="H58" s="267">
        <v>0</v>
      </c>
      <c r="I58" s="265">
        <v>0</v>
      </c>
      <c r="J58" s="266">
        <v>0</v>
      </c>
      <c r="K58" s="266">
        <v>0</v>
      </c>
      <c r="L58" s="266">
        <v>0</v>
      </c>
      <c r="M58" s="267">
        <v>0</v>
      </c>
      <c r="N58" s="230"/>
      <c r="O58" s="161">
        <f t="shared" si="5"/>
        <v>0</v>
      </c>
      <c r="P58" s="162">
        <f t="shared" si="6"/>
        <v>0</v>
      </c>
      <c r="Q58" s="163">
        <f t="shared" si="7"/>
        <v>0</v>
      </c>
      <c r="R58" s="231"/>
      <c r="S58" s="161">
        <f t="shared" si="8"/>
        <v>0</v>
      </c>
      <c r="T58" s="165" t="str">
        <f t="shared" si="9"/>
        <v>0</v>
      </c>
    </row>
    <row r="59" spans="1:20" s="239" customFormat="1" ht="15" customHeight="1">
      <c r="A59" s="859"/>
      <c r="B59" s="1932"/>
      <c r="C59" s="862" t="s">
        <v>453</v>
      </c>
      <c r="D59" s="263">
        <v>0.97900740122005747</v>
      </c>
      <c r="E59" s="266">
        <v>0.59252535964318098</v>
      </c>
      <c r="F59" s="266">
        <v>1.2475600057165788</v>
      </c>
      <c r="G59" s="266">
        <v>0.77839278034302573</v>
      </c>
      <c r="H59" s="267">
        <v>0.16782946217012026</v>
      </c>
      <c r="I59" s="265">
        <v>0.55014918056235529</v>
      </c>
      <c r="J59" s="266">
        <v>0.53878860819846797</v>
      </c>
      <c r="K59" s="266">
        <v>1.7998831767234649</v>
      </c>
      <c r="L59" s="266">
        <v>3.0927458773130465</v>
      </c>
      <c r="M59" s="267">
        <v>5.3426802889023435</v>
      </c>
      <c r="N59" s="230"/>
      <c r="O59" s="161">
        <f t="shared" si="5"/>
        <v>3.5974855469228428</v>
      </c>
      <c r="P59" s="162">
        <f t="shared" si="6"/>
        <v>0.16782946217012026</v>
      </c>
      <c r="Q59" s="163">
        <f t="shared" si="7"/>
        <v>3.765315009092963</v>
      </c>
      <c r="R59" s="231"/>
      <c r="S59" s="161">
        <f t="shared" si="8"/>
        <v>11.324247131699678</v>
      </c>
      <c r="T59" s="165">
        <f t="shared" si="9"/>
        <v>2.0075165303175013</v>
      </c>
    </row>
    <row r="60" spans="1:20" s="239" customFormat="1" ht="15" customHeight="1">
      <c r="A60" s="859"/>
      <c r="B60" s="1932"/>
      <c r="C60" s="862" t="s">
        <v>456</v>
      </c>
      <c r="D60" s="263">
        <v>1.1515395421748051</v>
      </c>
      <c r="E60" s="266">
        <v>2.0152166629489066</v>
      </c>
      <c r="F60" s="266">
        <v>1.2579381367623044</v>
      </c>
      <c r="G60" s="266">
        <v>1.6470130862124261</v>
      </c>
      <c r="H60" s="267">
        <v>2.1175921438031842</v>
      </c>
      <c r="I60" s="265">
        <v>2.8041639516418946</v>
      </c>
      <c r="J60" s="266">
        <v>2.7661917812864898</v>
      </c>
      <c r="K60" s="266">
        <v>3.8045262880150625</v>
      </c>
      <c r="L60" s="266">
        <v>4.4155339059828167</v>
      </c>
      <c r="M60" s="267">
        <v>1.337005157096768</v>
      </c>
      <c r="N60" s="230"/>
      <c r="O60" s="161">
        <f t="shared" si="5"/>
        <v>6.071707428098442</v>
      </c>
      <c r="P60" s="162">
        <f t="shared" si="6"/>
        <v>2.1175921438031842</v>
      </c>
      <c r="Q60" s="163">
        <f t="shared" si="7"/>
        <v>8.1892995719016266</v>
      </c>
      <c r="R60" s="231"/>
      <c r="S60" s="161">
        <f t="shared" si="8"/>
        <v>15.12742108402303</v>
      </c>
      <c r="T60" s="165">
        <f t="shared" si="9"/>
        <v>0.84721793985005134</v>
      </c>
    </row>
    <row r="61" spans="1:20" s="239" customFormat="1" ht="15" customHeight="1">
      <c r="A61" s="859"/>
      <c r="B61" s="1932"/>
      <c r="C61" s="863" t="s">
        <v>457</v>
      </c>
      <c r="D61" s="263">
        <v>0.88082366783510568</v>
      </c>
      <c r="E61" s="266">
        <v>0.57054391942919724</v>
      </c>
      <c r="F61" s="266">
        <v>2.2033037400495821</v>
      </c>
      <c r="G61" s="266">
        <v>2.3447207071068257</v>
      </c>
      <c r="H61" s="267">
        <v>0.3651020937591698</v>
      </c>
      <c r="I61" s="265">
        <v>0.538591343961069</v>
      </c>
      <c r="J61" s="266">
        <v>0.62088581955283495</v>
      </c>
      <c r="K61" s="266">
        <v>1.3625483147734012</v>
      </c>
      <c r="L61" s="266">
        <v>0.81644387082852687</v>
      </c>
      <c r="M61" s="267">
        <v>0.90942526584505512</v>
      </c>
      <c r="N61" s="230"/>
      <c r="O61" s="161">
        <f t="shared" si="5"/>
        <v>5.9993920344207101</v>
      </c>
      <c r="P61" s="162">
        <f t="shared" si="6"/>
        <v>0.3651020937591698</v>
      </c>
      <c r="Q61" s="163">
        <f t="shared" si="7"/>
        <v>6.3644941281798797</v>
      </c>
      <c r="R61" s="231"/>
      <c r="S61" s="161">
        <f t="shared" si="8"/>
        <v>4.2478946149608872</v>
      </c>
      <c r="T61" s="165">
        <f t="shared" si="9"/>
        <v>-0.33256366815508376</v>
      </c>
    </row>
    <row r="62" spans="1:20" s="239" customFormat="1" ht="15" customHeight="1">
      <c r="A62" s="859"/>
      <c r="B62" s="1932" t="s">
        <v>426</v>
      </c>
      <c r="C62" s="862" t="s">
        <v>454</v>
      </c>
      <c r="D62" s="268">
        <v>4.5164012503985038</v>
      </c>
      <c r="E62" s="269">
        <v>2.7911279343349804</v>
      </c>
      <c r="F62" s="269">
        <v>1.6062992602216393</v>
      </c>
      <c r="G62" s="269">
        <v>1.5523465068388831</v>
      </c>
      <c r="H62" s="270">
        <v>6.0921200472344879</v>
      </c>
      <c r="I62" s="271">
        <v>5.2673398639000242</v>
      </c>
      <c r="J62" s="269">
        <v>5.3620947363569913</v>
      </c>
      <c r="K62" s="269">
        <v>9.642654679855756</v>
      </c>
      <c r="L62" s="269">
        <v>3.5344921376583591</v>
      </c>
      <c r="M62" s="270">
        <v>3.4001243367731444</v>
      </c>
      <c r="N62" s="230"/>
      <c r="O62" s="161">
        <f t="shared" si="5"/>
        <v>10.466174951794008</v>
      </c>
      <c r="P62" s="162">
        <f t="shared" si="6"/>
        <v>6.0921200472344879</v>
      </c>
      <c r="Q62" s="163">
        <f t="shared" si="7"/>
        <v>16.558294999028497</v>
      </c>
      <c r="R62" s="231"/>
      <c r="S62" s="161">
        <f t="shared" si="8"/>
        <v>27.206705754544274</v>
      </c>
      <c r="T62" s="165">
        <f t="shared" si="9"/>
        <v>0.64308618466699241</v>
      </c>
    </row>
    <row r="63" spans="1:20" s="239" customFormat="1" ht="15" customHeight="1">
      <c r="A63" s="859"/>
      <c r="B63" s="1932"/>
      <c r="C63" s="862" t="s">
        <v>115</v>
      </c>
      <c r="D63" s="263">
        <v>2.2746686419985513</v>
      </c>
      <c r="E63" s="266">
        <v>4.5285317950926505</v>
      </c>
      <c r="F63" s="266">
        <v>3.9970783410269783</v>
      </c>
      <c r="G63" s="266">
        <v>3.9025881610515665</v>
      </c>
      <c r="H63" s="267">
        <v>0.75445026378038027</v>
      </c>
      <c r="I63" s="265">
        <v>2.9989008174314642</v>
      </c>
      <c r="J63" s="266">
        <v>1.4379104079686691</v>
      </c>
      <c r="K63" s="266">
        <v>2.0940678119530034</v>
      </c>
      <c r="L63" s="266">
        <v>0.83461642498041833</v>
      </c>
      <c r="M63" s="267">
        <v>0</v>
      </c>
      <c r="N63" s="230"/>
      <c r="O63" s="161">
        <f t="shared" si="5"/>
        <v>14.702866939169747</v>
      </c>
      <c r="P63" s="162">
        <f t="shared" si="6"/>
        <v>0.75445026378038027</v>
      </c>
      <c r="Q63" s="163">
        <f t="shared" si="7"/>
        <v>15.457317202950128</v>
      </c>
      <c r="R63" s="231"/>
      <c r="S63" s="161">
        <f t="shared" si="8"/>
        <v>7.3654954623335547</v>
      </c>
      <c r="T63" s="165">
        <f t="shared" si="9"/>
        <v>-0.52349457764069163</v>
      </c>
    </row>
    <row r="64" spans="1:20" s="239" customFormat="1" ht="15" customHeight="1">
      <c r="A64" s="859"/>
      <c r="B64" s="1932"/>
      <c r="C64" s="863" t="s">
        <v>458</v>
      </c>
      <c r="D64" s="263">
        <v>0</v>
      </c>
      <c r="E64" s="266">
        <v>0</v>
      </c>
      <c r="F64" s="266">
        <v>0</v>
      </c>
      <c r="G64" s="266">
        <v>0</v>
      </c>
      <c r="H64" s="267">
        <v>0</v>
      </c>
      <c r="I64" s="265">
        <v>0</v>
      </c>
      <c r="J64" s="266">
        <v>0</v>
      </c>
      <c r="K64" s="266">
        <v>0</v>
      </c>
      <c r="L64" s="266">
        <v>0</v>
      </c>
      <c r="M64" s="267">
        <v>0</v>
      </c>
      <c r="N64" s="230"/>
      <c r="O64" s="161">
        <f t="shared" si="5"/>
        <v>0</v>
      </c>
      <c r="P64" s="162">
        <f t="shared" si="6"/>
        <v>0</v>
      </c>
      <c r="Q64" s="163">
        <f t="shared" si="7"/>
        <v>0</v>
      </c>
      <c r="R64" s="231"/>
      <c r="S64" s="161">
        <f t="shared" si="8"/>
        <v>0</v>
      </c>
      <c r="T64" s="165" t="str">
        <f t="shared" si="9"/>
        <v>0</v>
      </c>
    </row>
    <row r="65" spans="1:20" s="239" customFormat="1" ht="15" customHeight="1">
      <c r="A65" s="859"/>
      <c r="B65" s="1932"/>
      <c r="C65" s="863" t="s">
        <v>453</v>
      </c>
      <c r="D65" s="263">
        <v>1.0768725640752552</v>
      </c>
      <c r="E65" s="266">
        <v>4.9856304284907473</v>
      </c>
      <c r="F65" s="266">
        <v>3.7643387425906738</v>
      </c>
      <c r="G65" s="266">
        <v>5.6831053646087506</v>
      </c>
      <c r="H65" s="267">
        <v>7.1322381040794021</v>
      </c>
      <c r="I65" s="265">
        <v>4.6152325006506709</v>
      </c>
      <c r="J65" s="266">
        <v>1.3168071912928616</v>
      </c>
      <c r="K65" s="266">
        <v>4.9303033138373653</v>
      </c>
      <c r="L65" s="266">
        <v>4.6697834198224006</v>
      </c>
      <c r="M65" s="267">
        <v>4.9476903570576951</v>
      </c>
      <c r="N65" s="230"/>
      <c r="O65" s="161">
        <f t="shared" si="5"/>
        <v>15.509947099765427</v>
      </c>
      <c r="P65" s="162">
        <f t="shared" si="6"/>
        <v>7.1322381040794021</v>
      </c>
      <c r="Q65" s="163">
        <f t="shared" si="7"/>
        <v>22.642185203844829</v>
      </c>
      <c r="R65" s="231"/>
      <c r="S65" s="161">
        <f t="shared" si="8"/>
        <v>20.479816782660993</v>
      </c>
      <c r="T65" s="165">
        <f t="shared" si="9"/>
        <v>-9.5501754875525327E-2</v>
      </c>
    </row>
    <row r="66" spans="1:20" s="239" customFormat="1" ht="15" customHeight="1">
      <c r="A66" s="859"/>
      <c r="B66" s="1932"/>
      <c r="C66" s="863" t="s">
        <v>456</v>
      </c>
      <c r="D66" s="263">
        <v>0.3487470005793884</v>
      </c>
      <c r="E66" s="266">
        <v>1.5711627570449711</v>
      </c>
      <c r="F66" s="266">
        <v>0.48176895929979924</v>
      </c>
      <c r="G66" s="266">
        <v>3.7991963210233144</v>
      </c>
      <c r="H66" s="267">
        <v>2.8231775828647625</v>
      </c>
      <c r="I66" s="265">
        <v>4.8568522979232274</v>
      </c>
      <c r="J66" s="266">
        <v>6.0464839095762519</v>
      </c>
      <c r="K66" s="266">
        <v>5.132868054635896</v>
      </c>
      <c r="L66" s="266">
        <v>4.8183868118889359</v>
      </c>
      <c r="M66" s="267">
        <v>2.2157993350521155</v>
      </c>
      <c r="N66" s="230"/>
      <c r="O66" s="161">
        <f t="shared" si="5"/>
        <v>6.2008750379474726</v>
      </c>
      <c r="P66" s="162">
        <f t="shared" si="6"/>
        <v>2.8231775828647625</v>
      </c>
      <c r="Q66" s="163">
        <f t="shared" si="7"/>
        <v>9.0240526208122347</v>
      </c>
      <c r="R66" s="231"/>
      <c r="S66" s="161">
        <f t="shared" si="8"/>
        <v>23.070390409076424</v>
      </c>
      <c r="T66" s="165">
        <f t="shared" si="9"/>
        <v>1.5565443131247954</v>
      </c>
    </row>
    <row r="67" spans="1:20" s="239" customFormat="1" ht="15" customHeight="1" thickBot="1">
      <c r="A67" s="859"/>
      <c r="B67" s="1944"/>
      <c r="C67" s="867" t="s">
        <v>457</v>
      </c>
      <c r="D67" s="273">
        <v>0.56440142013187866</v>
      </c>
      <c r="E67" s="274">
        <v>2.2542601623602696</v>
      </c>
      <c r="F67" s="274">
        <v>1.6974241654593003</v>
      </c>
      <c r="G67" s="274">
        <v>2.0570290322122262</v>
      </c>
      <c r="H67" s="275">
        <v>0.1477865355103585</v>
      </c>
      <c r="I67" s="276">
        <v>0.40038729204692436</v>
      </c>
      <c r="J67" s="274">
        <v>0.37795542265531601</v>
      </c>
      <c r="K67" s="274">
        <v>0.36695113527213846</v>
      </c>
      <c r="L67" s="274">
        <v>0.35100690770204507</v>
      </c>
      <c r="M67" s="275">
        <v>0.35368715816933477</v>
      </c>
      <c r="N67" s="230"/>
      <c r="O67" s="161">
        <f t="shared" si="5"/>
        <v>6.5731147801636745</v>
      </c>
      <c r="P67" s="162">
        <f t="shared" si="6"/>
        <v>0.1477865355103585</v>
      </c>
      <c r="Q67" s="163">
        <f t="shared" si="7"/>
        <v>6.7209013156740331</v>
      </c>
      <c r="R67" s="231"/>
      <c r="S67" s="161">
        <f t="shared" si="8"/>
        <v>1.8499879158457586</v>
      </c>
      <c r="T67" s="165">
        <f t="shared" si="9"/>
        <v>-0.72474109811263832</v>
      </c>
    </row>
    <row r="68" spans="1:20" s="239" customFormat="1" ht="15" customHeight="1" thickBot="1">
      <c r="A68" s="859"/>
      <c r="B68" s="868" t="s">
        <v>461</v>
      </c>
      <c r="C68" s="869"/>
      <c r="D68" s="277">
        <v>32.653337063416558</v>
      </c>
      <c r="E68" s="278">
        <v>41.722922359321927</v>
      </c>
      <c r="F68" s="278">
        <v>49.157321663335949</v>
      </c>
      <c r="G68" s="278">
        <v>52.265336192561065</v>
      </c>
      <c r="H68" s="279">
        <v>42.053155110113195</v>
      </c>
      <c r="I68" s="280">
        <v>57.340405065264797</v>
      </c>
      <c r="J68" s="278">
        <v>65.394397076802022</v>
      </c>
      <c r="K68" s="278">
        <v>69.311360217193894</v>
      </c>
      <c r="L68" s="278">
        <v>61.871212265518594</v>
      </c>
      <c r="M68" s="279">
        <v>65.308060864551393</v>
      </c>
      <c r="N68" s="230"/>
      <c r="O68" s="186">
        <f t="shared" si="5"/>
        <v>175.79891727863549</v>
      </c>
      <c r="P68" s="187">
        <f t="shared" si="6"/>
        <v>42.053155110113195</v>
      </c>
      <c r="Q68" s="188">
        <f t="shared" si="7"/>
        <v>217.8520723887487</v>
      </c>
      <c r="R68" s="231"/>
      <c r="S68" s="186">
        <f t="shared" si="8"/>
        <v>319.22543548933072</v>
      </c>
      <c r="T68" s="189">
        <f t="shared" si="9"/>
        <v>0.46533118546462637</v>
      </c>
    </row>
    <row r="69" spans="1:20" s="239" customFormat="1" ht="12.75">
      <c r="A69" s="859"/>
      <c r="B69" s="866"/>
      <c r="C69" s="866"/>
      <c r="D69" s="231"/>
      <c r="E69" s="231"/>
      <c r="F69" s="231"/>
      <c r="G69" s="231"/>
      <c r="H69" s="231"/>
      <c r="I69" s="231"/>
      <c r="J69" s="231"/>
      <c r="K69" s="231"/>
      <c r="L69" s="231"/>
      <c r="M69" s="231"/>
      <c r="N69" s="230"/>
      <c r="O69" s="230"/>
      <c r="P69" s="230"/>
      <c r="Q69" s="230"/>
    </row>
    <row r="70" spans="1:20" s="239" customFormat="1" ht="12.75">
      <c r="A70" s="859"/>
      <c r="B70" s="230"/>
      <c r="C70" s="230"/>
      <c r="D70" s="230"/>
      <c r="E70" s="230"/>
      <c r="F70" s="230"/>
      <c r="G70" s="230"/>
      <c r="H70" s="230"/>
      <c r="I70" s="230"/>
      <c r="J70" s="230"/>
      <c r="K70" s="230"/>
      <c r="L70" s="230"/>
      <c r="M70" s="230"/>
      <c r="N70" s="230"/>
      <c r="O70" s="230"/>
      <c r="P70" s="230"/>
      <c r="Q70" s="230"/>
    </row>
    <row r="71" spans="1:20" s="239" customFormat="1" ht="12.75">
      <c r="A71" s="859"/>
      <c r="B71" s="857" t="s">
        <v>462</v>
      </c>
      <c r="C71" s="230"/>
      <c r="D71" s="230"/>
      <c r="E71" s="230"/>
      <c r="F71" s="230"/>
      <c r="G71" s="230"/>
      <c r="H71" s="230"/>
      <c r="I71" s="230"/>
      <c r="J71" s="230"/>
      <c r="K71" s="230"/>
      <c r="L71" s="230"/>
      <c r="M71" s="230"/>
      <c r="N71" s="231"/>
      <c r="O71" s="230"/>
      <c r="P71" s="230"/>
      <c r="Q71" s="230"/>
    </row>
    <row r="72" spans="1:20" s="239" customFormat="1" ht="13.5" thickBot="1">
      <c r="A72" s="859"/>
      <c r="B72" s="230"/>
      <c r="C72" s="230"/>
      <c r="D72" s="230"/>
      <c r="E72" s="230"/>
      <c r="F72" s="230"/>
      <c r="G72" s="230"/>
      <c r="H72" s="230"/>
      <c r="I72" s="230"/>
      <c r="J72" s="230"/>
      <c r="K72" s="230"/>
      <c r="L72" s="230"/>
      <c r="M72" s="230"/>
      <c r="N72" s="231"/>
      <c r="O72" s="230"/>
      <c r="P72" s="230"/>
      <c r="Q72" s="230"/>
    </row>
    <row r="73" spans="1:20" s="239" customFormat="1" ht="12.75">
      <c r="A73" s="859"/>
      <c r="B73" s="1933" t="s">
        <v>444</v>
      </c>
      <c r="C73" s="1934"/>
      <c r="D73" s="240" t="s">
        <v>445</v>
      </c>
      <c r="E73" s="240"/>
      <c r="F73" s="240"/>
      <c r="G73" s="240"/>
      <c r="H73" s="241"/>
      <c r="I73" s="242" t="s">
        <v>446</v>
      </c>
      <c r="J73" s="240"/>
      <c r="K73" s="240"/>
      <c r="L73" s="240"/>
      <c r="M73" s="241"/>
      <c r="N73" s="231"/>
      <c r="O73" s="243" t="s">
        <v>211</v>
      </c>
      <c r="P73" s="244"/>
      <c r="Q73" s="245"/>
      <c r="R73" s="231"/>
      <c r="S73" s="243" t="s">
        <v>212</v>
      </c>
      <c r="T73" s="245"/>
    </row>
    <row r="74" spans="1:20" s="239" customFormat="1" ht="12.75">
      <c r="A74" s="859"/>
      <c r="B74" s="1935"/>
      <c r="C74" s="1936"/>
      <c r="D74" s="246" t="s">
        <v>99</v>
      </c>
      <c r="E74" s="247" t="s">
        <v>100</v>
      </c>
      <c r="F74" s="247" t="s">
        <v>101</v>
      </c>
      <c r="G74" s="247" t="s">
        <v>102</v>
      </c>
      <c r="H74" s="248" t="s">
        <v>64</v>
      </c>
      <c r="I74" s="249" t="s">
        <v>213</v>
      </c>
      <c r="J74" s="247" t="s">
        <v>214</v>
      </c>
      <c r="K74" s="247" t="s">
        <v>215</v>
      </c>
      <c r="L74" s="247" t="s">
        <v>216</v>
      </c>
      <c r="M74" s="248" t="s">
        <v>217</v>
      </c>
      <c r="N74" s="231"/>
      <c r="O74" s="250" t="s">
        <v>218</v>
      </c>
      <c r="P74" s="251" t="s">
        <v>219</v>
      </c>
      <c r="Q74" s="252" t="s">
        <v>220</v>
      </c>
      <c r="R74" s="231"/>
      <c r="S74" s="250" t="s">
        <v>219</v>
      </c>
      <c r="T74" s="252" t="s">
        <v>221</v>
      </c>
    </row>
    <row r="75" spans="1:20" s="239" customFormat="1" ht="12.75">
      <c r="A75" s="859"/>
      <c r="B75" s="1937"/>
      <c r="C75" s="1938"/>
      <c r="D75" s="246" t="s">
        <v>223</v>
      </c>
      <c r="E75" s="247" t="s">
        <v>223</v>
      </c>
      <c r="F75" s="247" t="s">
        <v>223</v>
      </c>
      <c r="G75" s="247" t="s">
        <v>223</v>
      </c>
      <c r="H75" s="248" t="s">
        <v>223</v>
      </c>
      <c r="I75" s="249" t="s">
        <v>223</v>
      </c>
      <c r="J75" s="247" t="s">
        <v>223</v>
      </c>
      <c r="K75" s="247" t="s">
        <v>223</v>
      </c>
      <c r="L75" s="247" t="s">
        <v>223</v>
      </c>
      <c r="M75" s="248" t="s">
        <v>223</v>
      </c>
      <c r="N75" s="230"/>
      <c r="O75" s="253"/>
      <c r="P75" s="254"/>
      <c r="Q75" s="255"/>
      <c r="R75" s="231"/>
      <c r="S75" s="256"/>
      <c r="T75" s="257"/>
    </row>
    <row r="76" spans="1:20" s="239" customFormat="1" ht="14.25" customHeight="1">
      <c r="A76" s="859"/>
      <c r="B76" s="1939" t="s">
        <v>447</v>
      </c>
      <c r="C76" s="861" t="s">
        <v>448</v>
      </c>
      <c r="D76" s="258">
        <v>0</v>
      </c>
      <c r="E76" s="258">
        <v>0</v>
      </c>
      <c r="F76" s="258">
        <v>0</v>
      </c>
      <c r="G76" s="258">
        <v>1.3932920145346897E-2</v>
      </c>
      <c r="H76" s="259">
        <v>0</v>
      </c>
      <c r="I76" s="260">
        <v>0</v>
      </c>
      <c r="J76" s="261">
        <v>0</v>
      </c>
      <c r="K76" s="261">
        <v>0</v>
      </c>
      <c r="L76" s="261">
        <v>0</v>
      </c>
      <c r="M76" s="262">
        <v>0</v>
      </c>
      <c r="N76" s="230"/>
      <c r="O76" s="161">
        <f t="shared" ref="O76:O101" si="10">SUM(D76:G76)</f>
        <v>1.3932920145346897E-2</v>
      </c>
      <c r="P76" s="162">
        <f t="shared" ref="P76:P101" si="11">H76</f>
        <v>0</v>
      </c>
      <c r="Q76" s="163">
        <f t="shared" ref="Q76:Q101" si="12">SUM(D76:H76)</f>
        <v>1.3932920145346897E-2</v>
      </c>
      <c r="R76" s="231"/>
      <c r="S76" s="161">
        <f t="shared" ref="S76:S101" si="13">SUM(I76:M76)</f>
        <v>0</v>
      </c>
      <c r="T76" s="165">
        <f>IF(Q76&lt;&gt;0,(S76-Q76)/Q76,"0")</f>
        <v>-1</v>
      </c>
    </row>
    <row r="77" spans="1:20" s="239" customFormat="1" ht="15" customHeight="1">
      <c r="A77" s="859"/>
      <c r="B77" s="1940"/>
      <c r="C77" s="862" t="s">
        <v>449</v>
      </c>
      <c r="D77" s="263">
        <v>0</v>
      </c>
      <c r="E77" s="263">
        <v>0</v>
      </c>
      <c r="F77" s="263">
        <v>2.3481155101942415E-3</v>
      </c>
      <c r="G77" s="263">
        <v>0.32515266598113446</v>
      </c>
      <c r="H77" s="264">
        <v>0</v>
      </c>
      <c r="I77" s="265">
        <v>0</v>
      </c>
      <c r="J77" s="266">
        <v>0</v>
      </c>
      <c r="K77" s="266">
        <v>0</v>
      </c>
      <c r="L77" s="266">
        <v>0</v>
      </c>
      <c r="M77" s="267">
        <v>0</v>
      </c>
      <c r="N77" s="230"/>
      <c r="O77" s="161">
        <f t="shared" si="10"/>
        <v>0.32750078149132872</v>
      </c>
      <c r="P77" s="162">
        <f t="shared" si="11"/>
        <v>0</v>
      </c>
      <c r="Q77" s="163">
        <f t="shared" si="12"/>
        <v>0.32750078149132872</v>
      </c>
      <c r="R77" s="231"/>
      <c r="S77" s="161">
        <f t="shared" si="13"/>
        <v>0</v>
      </c>
      <c r="T77" s="165">
        <f t="shared" ref="T77:T101" si="14">IF(Q77&lt;&gt;0,(S77-Q77)/Q77,"0")</f>
        <v>-1</v>
      </c>
    </row>
    <row r="78" spans="1:20" s="239" customFormat="1" ht="14.25" customHeight="1">
      <c r="A78" s="859"/>
      <c r="B78" s="1940" t="s">
        <v>450</v>
      </c>
      <c r="C78" s="862" t="s">
        <v>448</v>
      </c>
      <c r="D78" s="263">
        <v>0</v>
      </c>
      <c r="E78" s="263">
        <v>0</v>
      </c>
      <c r="F78" s="263">
        <v>0</v>
      </c>
      <c r="G78" s="263">
        <v>0</v>
      </c>
      <c r="H78" s="264">
        <v>0</v>
      </c>
      <c r="I78" s="265">
        <v>0</v>
      </c>
      <c r="J78" s="266">
        <v>0</v>
      </c>
      <c r="K78" s="266">
        <v>0</v>
      </c>
      <c r="L78" s="266">
        <v>0</v>
      </c>
      <c r="M78" s="267">
        <v>0</v>
      </c>
      <c r="N78" s="230"/>
      <c r="O78" s="161">
        <f t="shared" si="10"/>
        <v>0</v>
      </c>
      <c r="P78" s="162">
        <f t="shared" si="11"/>
        <v>0</v>
      </c>
      <c r="Q78" s="163">
        <f t="shared" si="12"/>
        <v>0</v>
      </c>
      <c r="R78" s="231"/>
      <c r="S78" s="161">
        <f t="shared" si="13"/>
        <v>0</v>
      </c>
      <c r="T78" s="165" t="str">
        <f t="shared" si="14"/>
        <v>0</v>
      </c>
    </row>
    <row r="79" spans="1:20" s="239" customFormat="1" ht="15" customHeight="1">
      <c r="A79" s="859"/>
      <c r="B79" s="1940"/>
      <c r="C79" s="862" t="s">
        <v>449</v>
      </c>
      <c r="D79" s="263">
        <v>0</v>
      </c>
      <c r="E79" s="263">
        <v>0</v>
      </c>
      <c r="F79" s="263">
        <v>0</v>
      </c>
      <c r="G79" s="263">
        <v>0</v>
      </c>
      <c r="H79" s="264">
        <v>0.23754675212009477</v>
      </c>
      <c r="I79" s="265">
        <v>0.24971769872009478</v>
      </c>
      <c r="J79" s="266">
        <v>0.25641063692009475</v>
      </c>
      <c r="K79" s="266">
        <v>0.26126021537009481</v>
      </c>
      <c r="L79" s="266">
        <v>0.24654827912009475</v>
      </c>
      <c r="M79" s="267">
        <v>0.24370419242009475</v>
      </c>
      <c r="N79" s="230"/>
      <c r="O79" s="161">
        <f t="shared" si="10"/>
        <v>0</v>
      </c>
      <c r="P79" s="162">
        <f t="shared" si="11"/>
        <v>0.23754675212009477</v>
      </c>
      <c r="Q79" s="163">
        <f t="shared" si="12"/>
        <v>0.23754675212009477</v>
      </c>
      <c r="R79" s="231"/>
      <c r="S79" s="161">
        <f t="shared" si="13"/>
        <v>1.2576410225504737</v>
      </c>
      <c r="T79" s="165">
        <f t="shared" si="14"/>
        <v>4.2942884351231099</v>
      </c>
    </row>
    <row r="80" spans="1:20" s="239" customFormat="1" ht="14.25" customHeight="1">
      <c r="A80" s="859"/>
      <c r="B80" s="1932" t="s">
        <v>368</v>
      </c>
      <c r="C80" s="862" t="s">
        <v>451</v>
      </c>
      <c r="D80" s="263">
        <v>0</v>
      </c>
      <c r="E80" s="263">
        <v>0</v>
      </c>
      <c r="F80" s="263">
        <v>1.3942844168305482E-2</v>
      </c>
      <c r="G80" s="263">
        <v>0</v>
      </c>
      <c r="H80" s="264">
        <v>0</v>
      </c>
      <c r="I80" s="265">
        <v>0</v>
      </c>
      <c r="J80" s="266">
        <v>0</v>
      </c>
      <c r="K80" s="266">
        <v>0</v>
      </c>
      <c r="L80" s="266">
        <v>0</v>
      </c>
      <c r="M80" s="267">
        <v>0</v>
      </c>
      <c r="N80" s="230"/>
      <c r="O80" s="161">
        <f t="shared" si="10"/>
        <v>1.3942844168305482E-2</v>
      </c>
      <c r="P80" s="162">
        <f t="shared" si="11"/>
        <v>0</v>
      </c>
      <c r="Q80" s="163">
        <f t="shared" si="12"/>
        <v>1.3942844168305482E-2</v>
      </c>
      <c r="R80" s="231"/>
      <c r="S80" s="161">
        <f t="shared" si="13"/>
        <v>0</v>
      </c>
      <c r="T80" s="165">
        <f t="shared" si="14"/>
        <v>-1</v>
      </c>
    </row>
    <row r="81" spans="1:20" s="239" customFormat="1" ht="14.25" customHeight="1">
      <c r="A81" s="859"/>
      <c r="B81" s="1932"/>
      <c r="C81" s="862" t="s">
        <v>452</v>
      </c>
      <c r="D81" s="263">
        <v>0</v>
      </c>
      <c r="E81" s="263">
        <v>0</v>
      </c>
      <c r="F81" s="263">
        <v>5.1670609709688469</v>
      </c>
      <c r="G81" s="263">
        <v>4.7359005828284593</v>
      </c>
      <c r="H81" s="264">
        <v>4.0096484450118046</v>
      </c>
      <c r="I81" s="265">
        <v>4.1923761581191856</v>
      </c>
      <c r="J81" s="266">
        <v>4.3047402984314678</v>
      </c>
      <c r="K81" s="266">
        <v>4.386157263167707</v>
      </c>
      <c r="L81" s="266">
        <v>4.1391664768101748</v>
      </c>
      <c r="M81" s="267">
        <v>4.0914186346114976</v>
      </c>
      <c r="N81" s="230"/>
      <c r="O81" s="161">
        <f t="shared" si="10"/>
        <v>9.9029615537973061</v>
      </c>
      <c r="P81" s="162">
        <f t="shared" si="11"/>
        <v>4.0096484450118046</v>
      </c>
      <c r="Q81" s="163">
        <f t="shared" si="12"/>
        <v>13.91260999880911</v>
      </c>
      <c r="R81" s="231"/>
      <c r="S81" s="161">
        <f t="shared" si="13"/>
        <v>21.113858831140032</v>
      </c>
      <c r="T81" s="165">
        <f t="shared" si="14"/>
        <v>0.51760588652649175</v>
      </c>
    </row>
    <row r="82" spans="1:20" s="239" customFormat="1" ht="15" customHeight="1">
      <c r="A82" s="859"/>
      <c r="B82" s="1932"/>
      <c r="C82" s="863" t="s">
        <v>453</v>
      </c>
      <c r="D82" s="263">
        <v>0</v>
      </c>
      <c r="E82" s="263">
        <v>0</v>
      </c>
      <c r="F82" s="263">
        <v>2.6599642752375088E-5</v>
      </c>
      <c r="G82" s="263">
        <v>0</v>
      </c>
      <c r="H82" s="264">
        <v>4.9405094490742015E-3</v>
      </c>
      <c r="I82" s="265">
        <v>5.1936414163388086E-3</v>
      </c>
      <c r="J82" s="266">
        <v>5.3328414859000724E-3</v>
      </c>
      <c r="K82" s="266">
        <v>5.4337032654967841E-3</v>
      </c>
      <c r="L82" s="266">
        <v>5.1277236660764733E-3</v>
      </c>
      <c r="M82" s="267">
        <v>5.0685722060378521E-3</v>
      </c>
      <c r="N82" s="230"/>
      <c r="O82" s="161">
        <f t="shared" si="10"/>
        <v>2.6599642752375088E-5</v>
      </c>
      <c r="P82" s="162">
        <f t="shared" si="11"/>
        <v>4.9405094490742015E-3</v>
      </c>
      <c r="Q82" s="163">
        <f t="shared" si="12"/>
        <v>4.9671090918265767E-3</v>
      </c>
      <c r="R82" s="231"/>
      <c r="S82" s="161">
        <f t="shared" si="13"/>
        <v>2.6156482039849993E-2</v>
      </c>
      <c r="T82" s="165">
        <f t="shared" si="14"/>
        <v>4.2659366960332559</v>
      </c>
    </row>
    <row r="83" spans="1:20" s="239" customFormat="1" ht="14.25" customHeight="1">
      <c r="A83" s="859"/>
      <c r="B83" s="1932" t="s">
        <v>245</v>
      </c>
      <c r="C83" s="862" t="s">
        <v>454</v>
      </c>
      <c r="D83" s="263">
        <v>0</v>
      </c>
      <c r="E83" s="263">
        <v>0</v>
      </c>
      <c r="F83" s="263">
        <v>0</v>
      </c>
      <c r="G83" s="263">
        <v>0</v>
      </c>
      <c r="H83" s="264">
        <v>0</v>
      </c>
      <c r="I83" s="265">
        <v>0</v>
      </c>
      <c r="J83" s="266">
        <v>0</v>
      </c>
      <c r="K83" s="266">
        <v>0</v>
      </c>
      <c r="L83" s="266">
        <v>0</v>
      </c>
      <c r="M83" s="267">
        <v>0</v>
      </c>
      <c r="N83" s="230"/>
      <c r="O83" s="161">
        <f t="shared" si="10"/>
        <v>0</v>
      </c>
      <c r="P83" s="162">
        <f t="shared" si="11"/>
        <v>0</v>
      </c>
      <c r="Q83" s="163">
        <f t="shared" si="12"/>
        <v>0</v>
      </c>
      <c r="R83" s="231"/>
      <c r="S83" s="161">
        <f t="shared" si="13"/>
        <v>0</v>
      </c>
      <c r="T83" s="165" t="str">
        <f t="shared" si="14"/>
        <v>0</v>
      </c>
    </row>
    <row r="84" spans="1:20" s="239" customFormat="1" ht="14.25" customHeight="1">
      <c r="A84" s="859"/>
      <c r="B84" s="1932"/>
      <c r="C84" s="862" t="s">
        <v>115</v>
      </c>
      <c r="D84" s="263">
        <v>0</v>
      </c>
      <c r="E84" s="263">
        <v>0</v>
      </c>
      <c r="F84" s="263">
        <v>3.5587697156634096E-2</v>
      </c>
      <c r="G84" s="263">
        <v>1.0040457302422188</v>
      </c>
      <c r="H84" s="264">
        <v>1.1579091471219216</v>
      </c>
      <c r="I84" s="265">
        <v>1.3004819497748334</v>
      </c>
      <c r="J84" s="266">
        <v>1.3046164771555993</v>
      </c>
      <c r="K84" s="266">
        <v>1.3496412665488986</v>
      </c>
      <c r="L84" s="266">
        <v>1.2629153911490945</v>
      </c>
      <c r="M84" s="267">
        <v>1.2563416956476854</v>
      </c>
      <c r="N84" s="230"/>
      <c r="O84" s="161">
        <f t="shared" si="10"/>
        <v>1.0396334273988528</v>
      </c>
      <c r="P84" s="162">
        <f t="shared" si="11"/>
        <v>1.1579091471219216</v>
      </c>
      <c r="Q84" s="163">
        <f t="shared" si="12"/>
        <v>2.1975425745207744</v>
      </c>
      <c r="R84" s="231"/>
      <c r="S84" s="161">
        <f t="shared" si="13"/>
        <v>6.4739967802761109</v>
      </c>
      <c r="T84" s="165">
        <f t="shared" si="14"/>
        <v>1.9460165438150465</v>
      </c>
    </row>
    <row r="85" spans="1:20" s="239" customFormat="1" ht="14.25" customHeight="1">
      <c r="A85" s="859"/>
      <c r="B85" s="1932"/>
      <c r="C85" s="863" t="s">
        <v>455</v>
      </c>
      <c r="D85" s="263">
        <v>0</v>
      </c>
      <c r="E85" s="263">
        <v>0</v>
      </c>
      <c r="F85" s="263">
        <v>0</v>
      </c>
      <c r="G85" s="263">
        <v>0</v>
      </c>
      <c r="H85" s="264">
        <v>0</v>
      </c>
      <c r="I85" s="265">
        <v>0</v>
      </c>
      <c r="J85" s="266">
        <v>0</v>
      </c>
      <c r="K85" s="266">
        <v>0</v>
      </c>
      <c r="L85" s="266">
        <v>0</v>
      </c>
      <c r="M85" s="267">
        <v>0</v>
      </c>
      <c r="N85" s="230"/>
      <c r="O85" s="161">
        <f t="shared" si="10"/>
        <v>0</v>
      </c>
      <c r="P85" s="162">
        <f t="shared" si="11"/>
        <v>0</v>
      </c>
      <c r="Q85" s="163">
        <f t="shared" si="12"/>
        <v>0</v>
      </c>
      <c r="R85" s="231"/>
      <c r="S85" s="161">
        <f t="shared" si="13"/>
        <v>0</v>
      </c>
      <c r="T85" s="165" t="str">
        <f t="shared" si="14"/>
        <v>0</v>
      </c>
    </row>
    <row r="86" spans="1:20" s="239" customFormat="1" ht="14.25" customHeight="1">
      <c r="A86" s="859"/>
      <c r="B86" s="1932"/>
      <c r="C86" s="863" t="s">
        <v>453</v>
      </c>
      <c r="D86" s="263">
        <v>0</v>
      </c>
      <c r="E86" s="263">
        <v>0</v>
      </c>
      <c r="F86" s="263">
        <v>0.1120170634242843</v>
      </c>
      <c r="G86" s="263">
        <v>4.6103180225752771E-2</v>
      </c>
      <c r="H86" s="264">
        <v>0</v>
      </c>
      <c r="I86" s="265">
        <v>0</v>
      </c>
      <c r="J86" s="266">
        <v>0</v>
      </c>
      <c r="K86" s="266">
        <v>0</v>
      </c>
      <c r="L86" s="266">
        <v>0</v>
      </c>
      <c r="M86" s="267">
        <v>0</v>
      </c>
      <c r="N86" s="230"/>
      <c r="O86" s="161">
        <f t="shared" si="10"/>
        <v>0.15812024365003707</v>
      </c>
      <c r="P86" s="162">
        <f t="shared" si="11"/>
        <v>0</v>
      </c>
      <c r="Q86" s="163">
        <f t="shared" si="12"/>
        <v>0.15812024365003707</v>
      </c>
      <c r="R86" s="231"/>
      <c r="S86" s="161">
        <f t="shared" si="13"/>
        <v>0</v>
      </c>
      <c r="T86" s="165">
        <f t="shared" si="14"/>
        <v>-1</v>
      </c>
    </row>
    <row r="87" spans="1:20" s="239" customFormat="1" ht="14.25" customHeight="1">
      <c r="A87" s="859"/>
      <c r="B87" s="1932"/>
      <c r="C87" s="862" t="s">
        <v>456</v>
      </c>
      <c r="D87" s="263">
        <v>0</v>
      </c>
      <c r="E87" s="263">
        <v>0</v>
      </c>
      <c r="F87" s="263">
        <v>8.199875738692837E-2</v>
      </c>
      <c r="G87" s="263">
        <v>0</v>
      </c>
      <c r="H87" s="264">
        <v>0.31772526112382798</v>
      </c>
      <c r="I87" s="265">
        <v>0.35684662143490825</v>
      </c>
      <c r="J87" s="266">
        <v>0.35798111786318376</v>
      </c>
      <c r="K87" s="266">
        <v>0.37033572530590847</v>
      </c>
      <c r="L87" s="266">
        <v>0.3465385202522257</v>
      </c>
      <c r="M87" s="267">
        <v>0.34473472664292104</v>
      </c>
      <c r="N87" s="230"/>
      <c r="O87" s="161">
        <f t="shared" si="10"/>
        <v>8.199875738692837E-2</v>
      </c>
      <c r="P87" s="162">
        <f t="shared" si="11"/>
        <v>0.31772526112382798</v>
      </c>
      <c r="Q87" s="163">
        <f t="shared" si="12"/>
        <v>0.39972401851075634</v>
      </c>
      <c r="R87" s="231"/>
      <c r="S87" s="161">
        <f t="shared" si="13"/>
        <v>1.7764367114991473</v>
      </c>
      <c r="T87" s="165">
        <f t="shared" si="14"/>
        <v>3.444158042135125</v>
      </c>
    </row>
    <row r="88" spans="1:20" s="239" customFormat="1" ht="15" customHeight="1">
      <c r="A88" s="859"/>
      <c r="B88" s="1932"/>
      <c r="C88" s="862" t="s">
        <v>457</v>
      </c>
      <c r="D88" s="263">
        <v>0</v>
      </c>
      <c r="E88" s="263">
        <v>0</v>
      </c>
      <c r="F88" s="263">
        <v>0</v>
      </c>
      <c r="G88" s="263">
        <v>0</v>
      </c>
      <c r="H88" s="264">
        <v>1.155410199708439E-2</v>
      </c>
      <c r="I88" s="265">
        <v>1.2976753081546782E-2</v>
      </c>
      <c r="J88" s="266">
        <v>1.3018009125845114E-2</v>
      </c>
      <c r="K88" s="266">
        <v>1.3467285315035327E-2</v>
      </c>
      <c r="L88" s="266">
        <v>1.2601898239852079E-2</v>
      </c>
      <c r="M88" s="267">
        <v>1.2536303155376025E-2</v>
      </c>
      <c r="N88" s="230"/>
      <c r="O88" s="161">
        <f t="shared" si="10"/>
        <v>0</v>
      </c>
      <c r="P88" s="162">
        <f t="shared" si="11"/>
        <v>1.155410199708439E-2</v>
      </c>
      <c r="Q88" s="163">
        <f t="shared" si="12"/>
        <v>1.155410199708439E-2</v>
      </c>
      <c r="R88" s="231"/>
      <c r="S88" s="161">
        <f t="shared" si="13"/>
        <v>6.460024891765534E-2</v>
      </c>
      <c r="T88" s="165">
        <f t="shared" si="14"/>
        <v>4.5911094548028775</v>
      </c>
    </row>
    <row r="89" spans="1:20" s="239" customFormat="1" ht="14.25" customHeight="1">
      <c r="A89" s="859"/>
      <c r="B89" s="1932" t="s">
        <v>427</v>
      </c>
      <c r="C89" s="862" t="s">
        <v>454</v>
      </c>
      <c r="D89" s="263">
        <v>0</v>
      </c>
      <c r="E89" s="263">
        <v>0</v>
      </c>
      <c r="F89" s="263">
        <v>0</v>
      </c>
      <c r="G89" s="263">
        <v>0</v>
      </c>
      <c r="H89" s="264">
        <v>0</v>
      </c>
      <c r="I89" s="265">
        <v>0</v>
      </c>
      <c r="J89" s="266">
        <v>0</v>
      </c>
      <c r="K89" s="266">
        <v>0</v>
      </c>
      <c r="L89" s="266">
        <v>0</v>
      </c>
      <c r="M89" s="267">
        <v>0</v>
      </c>
      <c r="N89" s="230"/>
      <c r="O89" s="161">
        <f t="shared" si="10"/>
        <v>0</v>
      </c>
      <c r="P89" s="162">
        <f t="shared" si="11"/>
        <v>0</v>
      </c>
      <c r="Q89" s="163">
        <f t="shared" si="12"/>
        <v>0</v>
      </c>
      <c r="R89" s="231"/>
      <c r="S89" s="161">
        <f t="shared" si="13"/>
        <v>0</v>
      </c>
      <c r="T89" s="165" t="str">
        <f t="shared" si="14"/>
        <v>0</v>
      </c>
    </row>
    <row r="90" spans="1:20" s="239" customFormat="1" ht="14.25" customHeight="1">
      <c r="A90" s="859"/>
      <c r="B90" s="1932"/>
      <c r="C90" s="862" t="s">
        <v>115</v>
      </c>
      <c r="D90" s="263">
        <v>0.75612566348767984</v>
      </c>
      <c r="E90" s="263">
        <v>0</v>
      </c>
      <c r="F90" s="263">
        <v>0</v>
      </c>
      <c r="G90" s="263">
        <v>0</v>
      </c>
      <c r="H90" s="264">
        <v>0</v>
      </c>
      <c r="I90" s="265">
        <v>0</v>
      </c>
      <c r="J90" s="266">
        <v>0</v>
      </c>
      <c r="K90" s="266">
        <v>0</v>
      </c>
      <c r="L90" s="266">
        <v>0</v>
      </c>
      <c r="M90" s="267">
        <v>0</v>
      </c>
      <c r="N90" s="230"/>
      <c r="O90" s="161">
        <f t="shared" si="10"/>
        <v>0.75612566348767984</v>
      </c>
      <c r="P90" s="162">
        <f t="shared" si="11"/>
        <v>0</v>
      </c>
      <c r="Q90" s="163">
        <f t="shared" si="12"/>
        <v>0.75612566348767984</v>
      </c>
      <c r="R90" s="231"/>
      <c r="S90" s="161">
        <f t="shared" si="13"/>
        <v>0</v>
      </c>
      <c r="T90" s="165">
        <f t="shared" si="14"/>
        <v>-1</v>
      </c>
    </row>
    <row r="91" spans="1:20" s="239" customFormat="1" ht="14.25" customHeight="1">
      <c r="A91" s="859"/>
      <c r="B91" s="1932"/>
      <c r="C91" s="862" t="s">
        <v>455</v>
      </c>
      <c r="D91" s="263">
        <v>0</v>
      </c>
      <c r="E91" s="263">
        <v>0</v>
      </c>
      <c r="F91" s="263">
        <v>0</v>
      </c>
      <c r="G91" s="263">
        <v>0</v>
      </c>
      <c r="H91" s="264">
        <v>0</v>
      </c>
      <c r="I91" s="265">
        <v>0</v>
      </c>
      <c r="J91" s="266">
        <v>0</v>
      </c>
      <c r="K91" s="266">
        <v>0</v>
      </c>
      <c r="L91" s="266">
        <v>0</v>
      </c>
      <c r="M91" s="267">
        <v>0</v>
      </c>
      <c r="N91" s="230"/>
      <c r="O91" s="161">
        <f t="shared" si="10"/>
        <v>0</v>
      </c>
      <c r="P91" s="162">
        <f t="shared" si="11"/>
        <v>0</v>
      </c>
      <c r="Q91" s="163">
        <f t="shared" si="12"/>
        <v>0</v>
      </c>
      <c r="R91" s="231"/>
      <c r="S91" s="161">
        <f t="shared" si="13"/>
        <v>0</v>
      </c>
      <c r="T91" s="165" t="str">
        <f t="shared" si="14"/>
        <v>0</v>
      </c>
    </row>
    <row r="92" spans="1:20" s="239" customFormat="1" ht="14.25" customHeight="1">
      <c r="A92" s="859"/>
      <c r="B92" s="1932"/>
      <c r="C92" s="862" t="s">
        <v>453</v>
      </c>
      <c r="D92" s="263">
        <v>0</v>
      </c>
      <c r="E92" s="263">
        <v>0</v>
      </c>
      <c r="F92" s="263">
        <v>0</v>
      </c>
      <c r="G92" s="263">
        <v>0</v>
      </c>
      <c r="H92" s="264">
        <v>0</v>
      </c>
      <c r="I92" s="265">
        <v>0</v>
      </c>
      <c r="J92" s="266">
        <v>0</v>
      </c>
      <c r="K92" s="266">
        <v>0</v>
      </c>
      <c r="L92" s="266">
        <v>0</v>
      </c>
      <c r="M92" s="267">
        <v>0</v>
      </c>
      <c r="N92" s="230"/>
      <c r="O92" s="161">
        <f t="shared" si="10"/>
        <v>0</v>
      </c>
      <c r="P92" s="162">
        <f t="shared" si="11"/>
        <v>0</v>
      </c>
      <c r="Q92" s="163">
        <f t="shared" si="12"/>
        <v>0</v>
      </c>
      <c r="R92" s="231"/>
      <c r="S92" s="161">
        <f t="shared" si="13"/>
        <v>0</v>
      </c>
      <c r="T92" s="165" t="str">
        <f t="shared" si="14"/>
        <v>0</v>
      </c>
    </row>
    <row r="93" spans="1:20" s="239" customFormat="1" ht="14.25" customHeight="1">
      <c r="A93" s="859"/>
      <c r="B93" s="1932"/>
      <c r="C93" s="862" t="s">
        <v>456</v>
      </c>
      <c r="D93" s="263">
        <v>0</v>
      </c>
      <c r="E93" s="263">
        <v>0</v>
      </c>
      <c r="F93" s="263">
        <v>0</v>
      </c>
      <c r="G93" s="263">
        <v>0</v>
      </c>
      <c r="H93" s="264">
        <v>0</v>
      </c>
      <c r="I93" s="265">
        <v>0</v>
      </c>
      <c r="J93" s="266">
        <v>0</v>
      </c>
      <c r="K93" s="266">
        <v>0</v>
      </c>
      <c r="L93" s="266">
        <v>0</v>
      </c>
      <c r="M93" s="267">
        <v>0</v>
      </c>
      <c r="N93" s="230"/>
      <c r="O93" s="161">
        <f t="shared" si="10"/>
        <v>0</v>
      </c>
      <c r="P93" s="162">
        <f t="shared" si="11"/>
        <v>0</v>
      </c>
      <c r="Q93" s="163">
        <f t="shared" si="12"/>
        <v>0</v>
      </c>
      <c r="R93" s="231"/>
      <c r="S93" s="161">
        <f t="shared" si="13"/>
        <v>0</v>
      </c>
      <c r="T93" s="165" t="str">
        <f t="shared" si="14"/>
        <v>0</v>
      </c>
    </row>
    <row r="94" spans="1:20" s="239" customFormat="1" ht="15" customHeight="1">
      <c r="A94" s="859"/>
      <c r="B94" s="1932"/>
      <c r="C94" s="863" t="s">
        <v>457</v>
      </c>
      <c r="D94" s="263">
        <v>-0.19551249298752865</v>
      </c>
      <c r="E94" s="263">
        <v>0</v>
      </c>
      <c r="F94" s="263">
        <v>0</v>
      </c>
      <c r="G94" s="263">
        <v>0</v>
      </c>
      <c r="H94" s="264">
        <v>0</v>
      </c>
      <c r="I94" s="265">
        <v>0</v>
      </c>
      <c r="J94" s="266">
        <v>0</v>
      </c>
      <c r="K94" s="266">
        <v>0</v>
      </c>
      <c r="L94" s="266">
        <v>0</v>
      </c>
      <c r="M94" s="267">
        <v>0</v>
      </c>
      <c r="N94" s="230"/>
      <c r="O94" s="161">
        <f t="shared" si="10"/>
        <v>-0.19551249298752865</v>
      </c>
      <c r="P94" s="162">
        <f t="shared" si="11"/>
        <v>0</v>
      </c>
      <c r="Q94" s="163">
        <f t="shared" si="12"/>
        <v>-0.19551249298752865</v>
      </c>
      <c r="R94" s="231"/>
      <c r="S94" s="161">
        <f t="shared" si="13"/>
        <v>0</v>
      </c>
      <c r="T94" s="165">
        <f t="shared" si="14"/>
        <v>-1</v>
      </c>
    </row>
    <row r="95" spans="1:20" s="239" customFormat="1" ht="14.25" customHeight="1">
      <c r="A95" s="859"/>
      <c r="B95" s="1932" t="s">
        <v>426</v>
      </c>
      <c r="C95" s="862" t="s">
        <v>454</v>
      </c>
      <c r="D95" s="263">
        <v>0</v>
      </c>
      <c r="E95" s="263">
        <v>0</v>
      </c>
      <c r="F95" s="263">
        <v>0</v>
      </c>
      <c r="G95" s="263">
        <v>0</v>
      </c>
      <c r="H95" s="264">
        <v>0</v>
      </c>
      <c r="I95" s="265">
        <v>0</v>
      </c>
      <c r="J95" s="266">
        <v>0</v>
      </c>
      <c r="K95" s="266">
        <v>0</v>
      </c>
      <c r="L95" s="266">
        <v>0</v>
      </c>
      <c r="M95" s="267">
        <v>0</v>
      </c>
      <c r="N95" s="230"/>
      <c r="O95" s="161">
        <f t="shared" si="10"/>
        <v>0</v>
      </c>
      <c r="P95" s="162">
        <f t="shared" si="11"/>
        <v>0</v>
      </c>
      <c r="Q95" s="163">
        <f t="shared" si="12"/>
        <v>0</v>
      </c>
      <c r="R95" s="231"/>
      <c r="S95" s="161">
        <f t="shared" si="13"/>
        <v>0</v>
      </c>
      <c r="T95" s="165" t="str">
        <f t="shared" si="14"/>
        <v>0</v>
      </c>
    </row>
    <row r="96" spans="1:20" s="239" customFormat="1" ht="14.25" customHeight="1">
      <c r="A96" s="859"/>
      <c r="B96" s="1932"/>
      <c r="C96" s="862" t="s">
        <v>115</v>
      </c>
      <c r="D96" s="263">
        <v>0</v>
      </c>
      <c r="E96" s="263">
        <v>0</v>
      </c>
      <c r="F96" s="263">
        <v>0</v>
      </c>
      <c r="G96" s="263">
        <v>0</v>
      </c>
      <c r="H96" s="264">
        <v>0</v>
      </c>
      <c r="I96" s="265">
        <v>0</v>
      </c>
      <c r="J96" s="266">
        <v>0</v>
      </c>
      <c r="K96" s="266">
        <v>0</v>
      </c>
      <c r="L96" s="266">
        <v>0</v>
      </c>
      <c r="M96" s="267">
        <v>0</v>
      </c>
      <c r="N96" s="230"/>
      <c r="O96" s="161">
        <f t="shared" si="10"/>
        <v>0</v>
      </c>
      <c r="P96" s="162">
        <f t="shared" si="11"/>
        <v>0</v>
      </c>
      <c r="Q96" s="163">
        <f t="shared" si="12"/>
        <v>0</v>
      </c>
      <c r="R96" s="231"/>
      <c r="S96" s="161">
        <f t="shared" si="13"/>
        <v>0</v>
      </c>
      <c r="T96" s="165" t="str">
        <f t="shared" si="14"/>
        <v>0</v>
      </c>
    </row>
    <row r="97" spans="1:20" s="239" customFormat="1" ht="14.25" customHeight="1">
      <c r="A97" s="859"/>
      <c r="B97" s="1932"/>
      <c r="C97" s="863" t="s">
        <v>458</v>
      </c>
      <c r="D97" s="263">
        <v>0</v>
      </c>
      <c r="E97" s="263">
        <v>0</v>
      </c>
      <c r="F97" s="263">
        <v>0</v>
      </c>
      <c r="G97" s="263">
        <v>0</v>
      </c>
      <c r="H97" s="264">
        <v>0</v>
      </c>
      <c r="I97" s="265">
        <v>0</v>
      </c>
      <c r="J97" s="266">
        <v>0</v>
      </c>
      <c r="K97" s="266">
        <v>0</v>
      </c>
      <c r="L97" s="266">
        <v>0</v>
      </c>
      <c r="M97" s="267">
        <v>0</v>
      </c>
      <c r="N97" s="230"/>
      <c r="O97" s="161">
        <f t="shared" si="10"/>
        <v>0</v>
      </c>
      <c r="P97" s="162">
        <f t="shared" si="11"/>
        <v>0</v>
      </c>
      <c r="Q97" s="163">
        <f t="shared" si="12"/>
        <v>0</v>
      </c>
      <c r="R97" s="231"/>
      <c r="S97" s="161">
        <f t="shared" si="13"/>
        <v>0</v>
      </c>
      <c r="T97" s="165" t="str">
        <f t="shared" si="14"/>
        <v>0</v>
      </c>
    </row>
    <row r="98" spans="1:20" s="239" customFormat="1" ht="14.25" customHeight="1">
      <c r="A98" s="859"/>
      <c r="B98" s="1932"/>
      <c r="C98" s="863" t="s">
        <v>453</v>
      </c>
      <c r="D98" s="263">
        <v>0</v>
      </c>
      <c r="E98" s="263">
        <v>0</v>
      </c>
      <c r="F98" s="263">
        <v>0</v>
      </c>
      <c r="G98" s="263">
        <v>0</v>
      </c>
      <c r="H98" s="264">
        <v>0</v>
      </c>
      <c r="I98" s="265">
        <v>0</v>
      </c>
      <c r="J98" s="266">
        <v>0</v>
      </c>
      <c r="K98" s="266">
        <v>0</v>
      </c>
      <c r="L98" s="266">
        <v>0</v>
      </c>
      <c r="M98" s="267">
        <v>0</v>
      </c>
      <c r="N98" s="230"/>
      <c r="O98" s="161">
        <f t="shared" si="10"/>
        <v>0</v>
      </c>
      <c r="P98" s="162">
        <f t="shared" si="11"/>
        <v>0</v>
      </c>
      <c r="Q98" s="163">
        <f t="shared" si="12"/>
        <v>0</v>
      </c>
      <c r="R98" s="231"/>
      <c r="S98" s="161">
        <f t="shared" si="13"/>
        <v>0</v>
      </c>
      <c r="T98" s="165" t="str">
        <f t="shared" si="14"/>
        <v>0</v>
      </c>
    </row>
    <row r="99" spans="1:20" s="239" customFormat="1" ht="14.25" customHeight="1">
      <c r="A99" s="859"/>
      <c r="B99" s="1932"/>
      <c r="C99" s="863" t="s">
        <v>456</v>
      </c>
      <c r="D99" s="263">
        <v>0</v>
      </c>
      <c r="E99" s="263">
        <v>0</v>
      </c>
      <c r="F99" s="263">
        <v>0</v>
      </c>
      <c r="G99" s="263">
        <v>0</v>
      </c>
      <c r="H99" s="264">
        <v>0</v>
      </c>
      <c r="I99" s="265">
        <v>0</v>
      </c>
      <c r="J99" s="266">
        <v>0</v>
      </c>
      <c r="K99" s="266">
        <v>0</v>
      </c>
      <c r="L99" s="266">
        <v>0</v>
      </c>
      <c r="M99" s="267">
        <v>0</v>
      </c>
      <c r="N99" s="230"/>
      <c r="O99" s="161">
        <f t="shared" si="10"/>
        <v>0</v>
      </c>
      <c r="P99" s="162">
        <f t="shared" si="11"/>
        <v>0</v>
      </c>
      <c r="Q99" s="163">
        <f t="shared" si="12"/>
        <v>0</v>
      </c>
      <c r="R99" s="231"/>
      <c r="S99" s="161">
        <f t="shared" si="13"/>
        <v>0</v>
      </c>
      <c r="T99" s="165" t="str">
        <f t="shared" si="14"/>
        <v>0</v>
      </c>
    </row>
    <row r="100" spans="1:20" s="239" customFormat="1" ht="15" customHeight="1">
      <c r="A100" s="859"/>
      <c r="B100" s="1932"/>
      <c r="C100" s="863" t="s">
        <v>457</v>
      </c>
      <c r="D100" s="263">
        <v>0</v>
      </c>
      <c r="E100" s="263">
        <v>0</v>
      </c>
      <c r="F100" s="263">
        <v>0</v>
      </c>
      <c r="G100" s="263">
        <v>0</v>
      </c>
      <c r="H100" s="264">
        <v>0</v>
      </c>
      <c r="I100" s="265">
        <v>0</v>
      </c>
      <c r="J100" s="266">
        <v>0</v>
      </c>
      <c r="K100" s="266">
        <v>0</v>
      </c>
      <c r="L100" s="266">
        <v>0</v>
      </c>
      <c r="M100" s="267">
        <v>0</v>
      </c>
      <c r="N100" s="230"/>
      <c r="O100" s="161">
        <f t="shared" si="10"/>
        <v>0</v>
      </c>
      <c r="P100" s="162">
        <f t="shared" si="11"/>
        <v>0</v>
      </c>
      <c r="Q100" s="163">
        <f t="shared" si="12"/>
        <v>0</v>
      </c>
      <c r="R100" s="231"/>
      <c r="S100" s="161">
        <f t="shared" si="13"/>
        <v>0</v>
      </c>
      <c r="T100" s="165" t="str">
        <f t="shared" si="14"/>
        <v>0</v>
      </c>
    </row>
    <row r="101" spans="1:20" s="239" customFormat="1" ht="15" customHeight="1" thickBot="1">
      <c r="A101" s="859"/>
      <c r="B101" s="864" t="s">
        <v>463</v>
      </c>
      <c r="C101" s="865"/>
      <c r="D101" s="281">
        <v>0.56061317050015114</v>
      </c>
      <c r="E101" s="282">
        <v>0</v>
      </c>
      <c r="F101" s="282">
        <v>5.4129820482579465</v>
      </c>
      <c r="G101" s="282">
        <v>6.1251350794229129</v>
      </c>
      <c r="H101" s="283">
        <v>5.7393242168238077</v>
      </c>
      <c r="I101" s="284">
        <v>6.1175928225469072</v>
      </c>
      <c r="J101" s="282">
        <v>6.2420993809820899</v>
      </c>
      <c r="K101" s="282">
        <v>6.3862954589731409</v>
      </c>
      <c r="L101" s="282">
        <v>6.0128982892375191</v>
      </c>
      <c r="M101" s="283">
        <v>5.9538041246836126</v>
      </c>
      <c r="N101" s="230"/>
      <c r="O101" s="186">
        <f t="shared" si="10"/>
        <v>12.09873029818101</v>
      </c>
      <c r="P101" s="187">
        <f t="shared" si="11"/>
        <v>5.7393242168238077</v>
      </c>
      <c r="Q101" s="188">
        <f t="shared" si="12"/>
        <v>17.838054515004817</v>
      </c>
      <c r="R101" s="231"/>
      <c r="S101" s="186">
        <f t="shared" si="13"/>
        <v>30.712690076423272</v>
      </c>
      <c r="T101" s="189">
        <f t="shared" si="14"/>
        <v>0.72175110523340491</v>
      </c>
    </row>
    <row r="102" spans="1:20" s="239" customFormat="1" ht="15" customHeight="1">
      <c r="A102" s="859"/>
      <c r="B102" s="230"/>
      <c r="C102" s="230"/>
      <c r="D102" s="230"/>
      <c r="E102" s="230"/>
      <c r="F102" s="230"/>
      <c r="G102" s="230"/>
      <c r="H102" s="230"/>
      <c r="I102" s="230"/>
      <c r="J102" s="230"/>
      <c r="K102" s="230"/>
      <c r="L102" s="230"/>
      <c r="M102" s="230"/>
      <c r="N102" s="230"/>
      <c r="O102" s="230"/>
      <c r="P102" s="230"/>
      <c r="Q102" s="230"/>
    </row>
    <row r="103" spans="1:20" s="239" customFormat="1" ht="15" customHeight="1">
      <c r="A103" s="859"/>
      <c r="B103" s="230"/>
      <c r="C103" s="230"/>
      <c r="D103" s="230"/>
      <c r="E103" s="230"/>
      <c r="F103" s="230"/>
      <c r="G103" s="230"/>
      <c r="H103" s="230"/>
      <c r="I103" s="230"/>
      <c r="J103" s="230"/>
      <c r="K103" s="230"/>
      <c r="L103" s="230"/>
      <c r="M103" s="230"/>
      <c r="N103" s="230"/>
      <c r="O103" s="230"/>
      <c r="P103" s="230"/>
      <c r="Q103" s="230"/>
    </row>
    <row r="104" spans="1:20" s="239" customFormat="1" ht="15" customHeight="1">
      <c r="A104" s="859"/>
      <c r="B104" s="857" t="s">
        <v>464</v>
      </c>
      <c r="C104" s="230"/>
      <c r="D104" s="230"/>
      <c r="E104" s="230"/>
      <c r="F104" s="230"/>
      <c r="G104" s="230"/>
      <c r="H104" s="230"/>
      <c r="I104" s="230"/>
      <c r="J104" s="230"/>
      <c r="K104" s="230"/>
      <c r="L104" s="230"/>
      <c r="M104" s="230"/>
      <c r="N104" s="230"/>
      <c r="O104" s="230"/>
      <c r="P104" s="230"/>
      <c r="Q104" s="230"/>
    </row>
    <row r="105" spans="1:20" s="239" customFormat="1" ht="15" customHeight="1" thickBot="1">
      <c r="A105" s="859"/>
      <c r="B105" s="230"/>
      <c r="C105" s="230"/>
      <c r="D105" s="230"/>
      <c r="E105" s="230"/>
      <c r="F105" s="230"/>
      <c r="G105" s="230"/>
      <c r="H105" s="230"/>
      <c r="I105" s="230"/>
      <c r="J105" s="230"/>
      <c r="K105" s="230"/>
      <c r="L105" s="230"/>
      <c r="M105" s="230"/>
      <c r="N105" s="230"/>
      <c r="O105" s="230"/>
      <c r="P105" s="230"/>
      <c r="Q105" s="230"/>
    </row>
    <row r="106" spans="1:20" s="239" customFormat="1" ht="15" customHeight="1">
      <c r="A106" s="859"/>
      <c r="B106" s="1933" t="s">
        <v>444</v>
      </c>
      <c r="C106" s="1934"/>
      <c r="D106" s="240" t="s">
        <v>445</v>
      </c>
      <c r="E106" s="240"/>
      <c r="F106" s="240"/>
      <c r="G106" s="240"/>
      <c r="H106" s="241"/>
      <c r="I106" s="242" t="s">
        <v>446</v>
      </c>
      <c r="J106" s="240"/>
      <c r="K106" s="240"/>
      <c r="L106" s="240"/>
      <c r="M106" s="241"/>
      <c r="N106" s="230"/>
      <c r="O106" s="243" t="s">
        <v>211</v>
      </c>
      <c r="P106" s="244"/>
      <c r="Q106" s="245"/>
      <c r="R106" s="231"/>
      <c r="S106" s="243" t="s">
        <v>212</v>
      </c>
      <c r="T106" s="245"/>
    </row>
    <row r="107" spans="1:20" s="239" customFormat="1" ht="15" customHeight="1">
      <c r="A107" s="859"/>
      <c r="B107" s="1935"/>
      <c r="C107" s="1936"/>
      <c r="D107" s="246" t="s">
        <v>99</v>
      </c>
      <c r="E107" s="247" t="s">
        <v>100</v>
      </c>
      <c r="F107" s="247" t="s">
        <v>101</v>
      </c>
      <c r="G107" s="247" t="s">
        <v>102</v>
      </c>
      <c r="H107" s="248" t="s">
        <v>64</v>
      </c>
      <c r="I107" s="249" t="s">
        <v>213</v>
      </c>
      <c r="J107" s="247" t="s">
        <v>214</v>
      </c>
      <c r="K107" s="247" t="s">
        <v>215</v>
      </c>
      <c r="L107" s="247" t="s">
        <v>216</v>
      </c>
      <c r="M107" s="248" t="s">
        <v>465</v>
      </c>
      <c r="N107" s="230"/>
      <c r="O107" s="250" t="s">
        <v>218</v>
      </c>
      <c r="P107" s="251" t="s">
        <v>219</v>
      </c>
      <c r="Q107" s="252" t="s">
        <v>220</v>
      </c>
      <c r="R107" s="231"/>
      <c r="S107" s="250" t="s">
        <v>219</v>
      </c>
      <c r="T107" s="252" t="s">
        <v>221</v>
      </c>
    </row>
    <row r="108" spans="1:20" s="239" customFormat="1" ht="15" customHeight="1">
      <c r="A108" s="859"/>
      <c r="B108" s="1937"/>
      <c r="C108" s="1938"/>
      <c r="D108" s="246" t="s">
        <v>223</v>
      </c>
      <c r="E108" s="247" t="s">
        <v>223</v>
      </c>
      <c r="F108" s="247" t="s">
        <v>223</v>
      </c>
      <c r="G108" s="247" t="s">
        <v>223</v>
      </c>
      <c r="H108" s="248" t="s">
        <v>223</v>
      </c>
      <c r="I108" s="249" t="s">
        <v>223</v>
      </c>
      <c r="J108" s="247" t="s">
        <v>223</v>
      </c>
      <c r="K108" s="247" t="s">
        <v>223</v>
      </c>
      <c r="L108" s="247" t="s">
        <v>223</v>
      </c>
      <c r="M108" s="248" t="s">
        <v>223</v>
      </c>
      <c r="N108" s="230"/>
      <c r="O108" s="253"/>
      <c r="P108" s="254"/>
      <c r="Q108" s="255"/>
      <c r="R108" s="231"/>
      <c r="S108" s="256"/>
      <c r="T108" s="257"/>
    </row>
    <row r="109" spans="1:20" s="239" customFormat="1" ht="15" customHeight="1">
      <c r="A109" s="859"/>
      <c r="B109" s="1941" t="s">
        <v>466</v>
      </c>
      <c r="C109" s="870" t="s">
        <v>467</v>
      </c>
      <c r="D109" s="258">
        <v>1.1413151966039032</v>
      </c>
      <c r="E109" s="261">
        <v>1.2333847110440672</v>
      </c>
      <c r="F109" s="261">
        <v>2.1560512995080727</v>
      </c>
      <c r="G109" s="261">
        <v>1.0860318577015582</v>
      </c>
      <c r="H109" s="262">
        <v>1.6132458555196467</v>
      </c>
      <c r="I109" s="260">
        <v>6.9780927025521819</v>
      </c>
      <c r="J109" s="261">
        <v>5.6074849569441279</v>
      </c>
      <c r="K109" s="261">
        <v>4.6310611384917122</v>
      </c>
      <c r="L109" s="261">
        <v>0.3533090604213196</v>
      </c>
      <c r="M109" s="262">
        <v>0.34923342215963732</v>
      </c>
      <c r="N109" s="230"/>
      <c r="O109" s="161">
        <f t="shared" ref="O109:O138" si="15">SUM(D109:G109)</f>
        <v>5.6167830648576018</v>
      </c>
      <c r="P109" s="162">
        <f t="shared" ref="P109:P138" si="16">H109</f>
        <v>1.6132458555196467</v>
      </c>
      <c r="Q109" s="163">
        <f t="shared" ref="Q109:Q138" si="17">SUM(D109:H109)</f>
        <v>7.230028920377249</v>
      </c>
      <c r="R109" s="231"/>
      <c r="S109" s="161">
        <f t="shared" ref="S109:S138" si="18">SUM(I109:M109)</f>
        <v>17.919181280568981</v>
      </c>
      <c r="T109" s="285">
        <f>IF(Q109&lt;&gt;0,(S109-Q109)/Q109,"0")</f>
        <v>1.4784383960159861</v>
      </c>
    </row>
    <row r="110" spans="1:20" s="239" customFormat="1" ht="15" customHeight="1">
      <c r="A110" s="859"/>
      <c r="B110" s="1942"/>
      <c r="C110" s="870" t="s">
        <v>468</v>
      </c>
      <c r="D110" s="263">
        <v>0</v>
      </c>
      <c r="E110" s="266">
        <v>0</v>
      </c>
      <c r="F110" s="266">
        <v>0</v>
      </c>
      <c r="G110" s="266">
        <v>0</v>
      </c>
      <c r="H110" s="267">
        <v>0</v>
      </c>
      <c r="I110" s="265">
        <v>0</v>
      </c>
      <c r="J110" s="266">
        <v>0</v>
      </c>
      <c r="K110" s="266">
        <v>0</v>
      </c>
      <c r="L110" s="266">
        <v>0</v>
      </c>
      <c r="M110" s="267">
        <v>0</v>
      </c>
      <c r="N110" s="230"/>
      <c r="O110" s="161">
        <f t="shared" si="15"/>
        <v>0</v>
      </c>
      <c r="P110" s="162">
        <f t="shared" si="16"/>
        <v>0</v>
      </c>
      <c r="Q110" s="163">
        <f t="shared" si="17"/>
        <v>0</v>
      </c>
      <c r="R110" s="231"/>
      <c r="S110" s="161">
        <f t="shared" si="18"/>
        <v>0</v>
      </c>
      <c r="T110" s="285" t="str">
        <f t="shared" ref="T110:T138" si="19">IF(Q110&lt;&gt;0,(S110-Q110)/Q110,"0")</f>
        <v>0</v>
      </c>
    </row>
    <row r="111" spans="1:20" s="239" customFormat="1" ht="15" customHeight="1">
      <c r="A111" s="859"/>
      <c r="B111" s="1942"/>
      <c r="C111" s="870" t="s">
        <v>469</v>
      </c>
      <c r="D111" s="263">
        <v>0</v>
      </c>
      <c r="E111" s="266">
        <v>0</v>
      </c>
      <c r="F111" s="266">
        <v>0</v>
      </c>
      <c r="G111" s="266">
        <v>0</v>
      </c>
      <c r="H111" s="267">
        <v>0</v>
      </c>
      <c r="I111" s="265">
        <v>0</v>
      </c>
      <c r="J111" s="266">
        <v>0</v>
      </c>
      <c r="K111" s="266">
        <v>0</v>
      </c>
      <c r="L111" s="266">
        <v>0</v>
      </c>
      <c r="M111" s="267">
        <v>0</v>
      </c>
      <c r="N111" s="230"/>
      <c r="O111" s="161">
        <f t="shared" si="15"/>
        <v>0</v>
      </c>
      <c r="P111" s="162">
        <f t="shared" si="16"/>
        <v>0</v>
      </c>
      <c r="Q111" s="163">
        <f t="shared" si="17"/>
        <v>0</v>
      </c>
      <c r="R111" s="231"/>
      <c r="S111" s="161">
        <f t="shared" si="18"/>
        <v>0</v>
      </c>
      <c r="T111" s="285" t="str">
        <f t="shared" si="19"/>
        <v>0</v>
      </c>
    </row>
    <row r="112" spans="1:20" s="239" customFormat="1" ht="15" customHeight="1">
      <c r="A112" s="859"/>
      <c r="B112" s="1942"/>
      <c r="C112" s="870" t="s">
        <v>470</v>
      </c>
      <c r="D112" s="263">
        <v>0</v>
      </c>
      <c r="E112" s="266">
        <v>0</v>
      </c>
      <c r="F112" s="266">
        <v>0</v>
      </c>
      <c r="G112" s="266">
        <v>0</v>
      </c>
      <c r="H112" s="267">
        <v>0</v>
      </c>
      <c r="I112" s="265">
        <v>0</v>
      </c>
      <c r="J112" s="266">
        <v>0</v>
      </c>
      <c r="K112" s="266">
        <v>0</v>
      </c>
      <c r="L112" s="266">
        <v>0</v>
      </c>
      <c r="M112" s="267">
        <v>0</v>
      </c>
      <c r="N112" s="230"/>
      <c r="O112" s="161">
        <f t="shared" si="15"/>
        <v>0</v>
      </c>
      <c r="P112" s="162">
        <f t="shared" si="16"/>
        <v>0</v>
      </c>
      <c r="Q112" s="163">
        <f t="shared" si="17"/>
        <v>0</v>
      </c>
      <c r="R112" s="231"/>
      <c r="S112" s="161">
        <f t="shared" si="18"/>
        <v>0</v>
      </c>
      <c r="T112" s="285" t="str">
        <f t="shared" si="19"/>
        <v>0</v>
      </c>
    </row>
    <row r="113" spans="1:20" s="239" customFormat="1" ht="15" customHeight="1">
      <c r="A113" s="859"/>
      <c r="B113" s="1942"/>
      <c r="C113" s="870" t="s">
        <v>471</v>
      </c>
      <c r="D113" s="263">
        <v>0</v>
      </c>
      <c r="E113" s="266">
        <v>0</v>
      </c>
      <c r="F113" s="266">
        <v>0</v>
      </c>
      <c r="G113" s="266">
        <v>0</v>
      </c>
      <c r="H113" s="267">
        <v>7.400210346420398E-2</v>
      </c>
      <c r="I113" s="265">
        <v>4.6676205368242012E-2</v>
      </c>
      <c r="J113" s="266">
        <v>4.7927221854223309E-2</v>
      </c>
      <c r="K113" s="266">
        <v>4.8833685115905565E-2</v>
      </c>
      <c r="L113" s="266">
        <v>1.2749848702160662</v>
      </c>
      <c r="M113" s="267">
        <v>1.2602771321412998</v>
      </c>
      <c r="N113" s="230"/>
      <c r="O113" s="161">
        <f t="shared" si="15"/>
        <v>0</v>
      </c>
      <c r="P113" s="162">
        <f t="shared" si="16"/>
        <v>7.400210346420398E-2</v>
      </c>
      <c r="Q113" s="163">
        <f t="shared" si="17"/>
        <v>7.400210346420398E-2</v>
      </c>
      <c r="R113" s="231"/>
      <c r="S113" s="161">
        <f t="shared" si="18"/>
        <v>2.6786991146957368</v>
      </c>
      <c r="T113" s="285">
        <f t="shared" si="19"/>
        <v>35.197607761128943</v>
      </c>
    </row>
    <row r="114" spans="1:20" s="239" customFormat="1" ht="15" customHeight="1">
      <c r="A114" s="859"/>
      <c r="B114" s="1943"/>
      <c r="C114" s="871" t="s">
        <v>472</v>
      </c>
      <c r="D114" s="286">
        <v>1.1413151966039032</v>
      </c>
      <c r="E114" s="286">
        <v>1.2333847110440672</v>
      </c>
      <c r="F114" s="286">
        <v>2.1560512995080727</v>
      </c>
      <c r="G114" s="286">
        <v>1.0860318577015582</v>
      </c>
      <c r="H114" s="287">
        <v>1.6872479589838507</v>
      </c>
      <c r="I114" s="288">
        <v>7.0247689079204241</v>
      </c>
      <c r="J114" s="286">
        <v>5.6554121787983513</v>
      </c>
      <c r="K114" s="286">
        <v>4.6798948236076177</v>
      </c>
      <c r="L114" s="286">
        <v>1.6282939306373858</v>
      </c>
      <c r="M114" s="287">
        <v>1.6095105543009371</v>
      </c>
      <c r="N114" s="230"/>
      <c r="O114" s="161">
        <f t="shared" si="15"/>
        <v>5.6167830648576018</v>
      </c>
      <c r="P114" s="162">
        <f t="shared" si="16"/>
        <v>1.6872479589838507</v>
      </c>
      <c r="Q114" s="163">
        <f t="shared" si="17"/>
        <v>7.3040310238414525</v>
      </c>
      <c r="R114" s="231"/>
      <c r="S114" s="161">
        <f t="shared" si="18"/>
        <v>20.597880395264717</v>
      </c>
      <c r="T114" s="285">
        <f t="shared" si="19"/>
        <v>1.8200702225976513</v>
      </c>
    </row>
    <row r="115" spans="1:20" s="239" customFormat="1" ht="15" customHeight="1">
      <c r="A115" s="859"/>
      <c r="B115" s="1941" t="s">
        <v>245</v>
      </c>
      <c r="C115" s="870" t="s">
        <v>467</v>
      </c>
      <c r="D115" s="263">
        <v>4.8417882458104975</v>
      </c>
      <c r="E115" s="266">
        <v>3.6531191082967447</v>
      </c>
      <c r="F115" s="266">
        <v>3.9509381048745129</v>
      </c>
      <c r="G115" s="266">
        <v>4.6011943559342603</v>
      </c>
      <c r="H115" s="267">
        <v>5.5775437871219031</v>
      </c>
      <c r="I115" s="265">
        <v>7.5979583635566526</v>
      </c>
      <c r="J115" s="266">
        <v>15.319816659892544</v>
      </c>
      <c r="K115" s="266">
        <v>9.5448669259322276</v>
      </c>
      <c r="L115" s="266">
        <v>3.0911660019028186</v>
      </c>
      <c r="M115" s="267">
        <v>3.0750759422018832</v>
      </c>
      <c r="N115" s="230"/>
      <c r="O115" s="161">
        <f t="shared" si="15"/>
        <v>17.047039814916015</v>
      </c>
      <c r="P115" s="162">
        <f t="shared" si="16"/>
        <v>5.5775437871219031</v>
      </c>
      <c r="Q115" s="163">
        <f t="shared" si="17"/>
        <v>22.624583602037919</v>
      </c>
      <c r="R115" s="231"/>
      <c r="S115" s="161">
        <f t="shared" si="18"/>
        <v>38.628883893486126</v>
      </c>
      <c r="T115" s="285">
        <f t="shared" si="19"/>
        <v>0.70738540752664336</v>
      </c>
    </row>
    <row r="116" spans="1:20" s="239" customFormat="1" ht="15" customHeight="1">
      <c r="A116" s="859"/>
      <c r="B116" s="1942"/>
      <c r="C116" s="870" t="s">
        <v>468</v>
      </c>
      <c r="D116" s="263">
        <v>0</v>
      </c>
      <c r="E116" s="266">
        <v>0</v>
      </c>
      <c r="F116" s="266">
        <v>0</v>
      </c>
      <c r="G116" s="266">
        <v>0</v>
      </c>
      <c r="H116" s="267">
        <v>0</v>
      </c>
      <c r="I116" s="265">
        <v>0</v>
      </c>
      <c r="J116" s="266">
        <v>0</v>
      </c>
      <c r="K116" s="266">
        <v>0</v>
      </c>
      <c r="L116" s="266">
        <v>0</v>
      </c>
      <c r="M116" s="267">
        <v>0</v>
      </c>
      <c r="N116" s="230"/>
      <c r="O116" s="161">
        <f t="shared" si="15"/>
        <v>0</v>
      </c>
      <c r="P116" s="162">
        <f t="shared" si="16"/>
        <v>0</v>
      </c>
      <c r="Q116" s="163">
        <f t="shared" si="17"/>
        <v>0</v>
      </c>
      <c r="R116" s="231"/>
      <c r="S116" s="161">
        <f t="shared" si="18"/>
        <v>0</v>
      </c>
      <c r="T116" s="285" t="str">
        <f t="shared" si="19"/>
        <v>0</v>
      </c>
    </row>
    <row r="117" spans="1:20" s="239" customFormat="1" ht="15" customHeight="1">
      <c r="A117" s="859"/>
      <c r="B117" s="1942"/>
      <c r="C117" s="870" t="s">
        <v>469</v>
      </c>
      <c r="D117" s="263">
        <v>0</v>
      </c>
      <c r="E117" s="266">
        <v>0</v>
      </c>
      <c r="F117" s="266">
        <v>0</v>
      </c>
      <c r="G117" s="266">
        <v>0</v>
      </c>
      <c r="H117" s="267">
        <v>0</v>
      </c>
      <c r="I117" s="265">
        <v>0</v>
      </c>
      <c r="J117" s="266">
        <v>0</v>
      </c>
      <c r="K117" s="266">
        <v>0</v>
      </c>
      <c r="L117" s="266">
        <v>0</v>
      </c>
      <c r="M117" s="267">
        <v>0</v>
      </c>
      <c r="N117" s="230"/>
      <c r="O117" s="161">
        <f t="shared" si="15"/>
        <v>0</v>
      </c>
      <c r="P117" s="162">
        <f t="shared" si="16"/>
        <v>0</v>
      </c>
      <c r="Q117" s="163">
        <f t="shared" si="17"/>
        <v>0</v>
      </c>
      <c r="R117" s="231"/>
      <c r="S117" s="161">
        <f t="shared" si="18"/>
        <v>0</v>
      </c>
      <c r="T117" s="285" t="str">
        <f t="shared" si="19"/>
        <v>0</v>
      </c>
    </row>
    <row r="118" spans="1:20" s="239" customFormat="1" ht="15" customHeight="1">
      <c r="A118" s="859"/>
      <c r="B118" s="1942"/>
      <c r="C118" s="870" t="s">
        <v>470</v>
      </c>
      <c r="D118" s="263">
        <v>0</v>
      </c>
      <c r="E118" s="266">
        <v>0</v>
      </c>
      <c r="F118" s="266">
        <v>0</v>
      </c>
      <c r="G118" s="266">
        <v>0</v>
      </c>
      <c r="H118" s="267">
        <v>0</v>
      </c>
      <c r="I118" s="265">
        <v>0</v>
      </c>
      <c r="J118" s="266">
        <v>0</v>
      </c>
      <c r="K118" s="266">
        <v>0</v>
      </c>
      <c r="L118" s="266">
        <v>0</v>
      </c>
      <c r="M118" s="267">
        <v>0</v>
      </c>
      <c r="N118" s="230"/>
      <c r="O118" s="161">
        <f t="shared" si="15"/>
        <v>0</v>
      </c>
      <c r="P118" s="162">
        <f t="shared" si="16"/>
        <v>0</v>
      </c>
      <c r="Q118" s="163">
        <f t="shared" si="17"/>
        <v>0</v>
      </c>
      <c r="R118" s="231"/>
      <c r="S118" s="161">
        <f t="shared" si="18"/>
        <v>0</v>
      </c>
      <c r="T118" s="285" t="str">
        <f t="shared" si="19"/>
        <v>0</v>
      </c>
    </row>
    <row r="119" spans="1:20" s="239" customFormat="1" ht="15" customHeight="1">
      <c r="A119" s="859"/>
      <c r="B119" s="1942"/>
      <c r="C119" s="870" t="s">
        <v>471</v>
      </c>
      <c r="D119" s="263">
        <v>0</v>
      </c>
      <c r="E119" s="266">
        <v>0</v>
      </c>
      <c r="F119" s="266">
        <v>0</v>
      </c>
      <c r="G119" s="266">
        <v>0</v>
      </c>
      <c r="H119" s="267">
        <v>6.8457686110795418E-2</v>
      </c>
      <c r="I119" s="265">
        <v>0.10174977004426111</v>
      </c>
      <c r="J119" s="266">
        <v>0.1020732556645786</v>
      </c>
      <c r="K119" s="266">
        <v>0.10559599734342522</v>
      </c>
      <c r="L119" s="266">
        <v>2.2780549448805552</v>
      </c>
      <c r="M119" s="267">
        <v>2.2661972704487798</v>
      </c>
      <c r="N119" s="230"/>
      <c r="O119" s="161">
        <f t="shared" si="15"/>
        <v>0</v>
      </c>
      <c r="P119" s="162">
        <f t="shared" si="16"/>
        <v>6.8457686110795418E-2</v>
      </c>
      <c r="Q119" s="163">
        <f t="shared" si="17"/>
        <v>6.8457686110795418E-2</v>
      </c>
      <c r="R119" s="231"/>
      <c r="S119" s="161">
        <f t="shared" si="18"/>
        <v>4.8536712383816001</v>
      </c>
      <c r="T119" s="285">
        <f t="shared" si="19"/>
        <v>69.900311040694106</v>
      </c>
    </row>
    <row r="120" spans="1:20" s="239" customFormat="1" ht="15" customHeight="1">
      <c r="A120" s="859"/>
      <c r="B120" s="1943"/>
      <c r="C120" s="871" t="s">
        <v>472</v>
      </c>
      <c r="D120" s="286">
        <v>4.8417882458104975</v>
      </c>
      <c r="E120" s="286">
        <v>3.6531191082967447</v>
      </c>
      <c r="F120" s="286">
        <v>3.9509381048745129</v>
      </c>
      <c r="G120" s="286">
        <v>4.6011943559342603</v>
      </c>
      <c r="H120" s="287">
        <v>5.6460014732326984</v>
      </c>
      <c r="I120" s="288">
        <v>7.6997081336009137</v>
      </c>
      <c r="J120" s="286">
        <v>15.421889915557122</v>
      </c>
      <c r="K120" s="286">
        <v>9.6504629232756525</v>
      </c>
      <c r="L120" s="286">
        <v>5.3692209467833738</v>
      </c>
      <c r="M120" s="287">
        <v>5.3412732126506626</v>
      </c>
      <c r="N120" s="230"/>
      <c r="O120" s="161">
        <f t="shared" si="15"/>
        <v>17.047039814916015</v>
      </c>
      <c r="P120" s="162">
        <f t="shared" si="16"/>
        <v>5.6460014732326984</v>
      </c>
      <c r="Q120" s="163">
        <f t="shared" si="17"/>
        <v>22.693041288148713</v>
      </c>
      <c r="R120" s="231"/>
      <c r="S120" s="161">
        <f t="shared" si="18"/>
        <v>43.48255513186772</v>
      </c>
      <c r="T120" s="285">
        <f t="shared" si="19"/>
        <v>0.91611845145569759</v>
      </c>
    </row>
    <row r="121" spans="1:20" s="239" customFormat="1" ht="15" customHeight="1">
      <c r="A121" s="859"/>
      <c r="B121" s="1945" t="s">
        <v>473</v>
      </c>
      <c r="C121" s="870" t="s">
        <v>467</v>
      </c>
      <c r="D121" s="263">
        <v>1.4128408490660982</v>
      </c>
      <c r="E121" s="266">
        <v>0.93899893474323826</v>
      </c>
      <c r="F121" s="266">
        <v>1.0668936591236149</v>
      </c>
      <c r="G121" s="266">
        <v>1.0231105445473696</v>
      </c>
      <c r="H121" s="267">
        <v>1.3143675375330111</v>
      </c>
      <c r="I121" s="265">
        <v>5.5443226584227692E-2</v>
      </c>
      <c r="J121" s="266">
        <v>5.8182071444040778E-2</v>
      </c>
      <c r="K121" s="266">
        <v>1.1294058681331518</v>
      </c>
      <c r="L121" s="266">
        <v>0.66695414800076858</v>
      </c>
      <c r="M121" s="267">
        <v>0.67623930024375911</v>
      </c>
      <c r="N121" s="230"/>
      <c r="O121" s="161">
        <f t="shared" si="15"/>
        <v>4.4418439874803211</v>
      </c>
      <c r="P121" s="162">
        <f t="shared" si="16"/>
        <v>1.3143675375330111</v>
      </c>
      <c r="Q121" s="163">
        <f t="shared" si="17"/>
        <v>5.7562115250133319</v>
      </c>
      <c r="R121" s="231"/>
      <c r="S121" s="161">
        <f t="shared" si="18"/>
        <v>2.586224614405948</v>
      </c>
      <c r="T121" s="285">
        <f t="shared" si="19"/>
        <v>-0.55070716161703981</v>
      </c>
    </row>
    <row r="122" spans="1:20" s="239" customFormat="1" ht="15" customHeight="1">
      <c r="A122" s="859"/>
      <c r="B122" s="1941"/>
      <c r="C122" s="870" t="s">
        <v>468</v>
      </c>
      <c r="D122" s="263">
        <v>0</v>
      </c>
      <c r="E122" s="266">
        <v>0</v>
      </c>
      <c r="F122" s="266">
        <v>0</v>
      </c>
      <c r="G122" s="266">
        <v>0</v>
      </c>
      <c r="H122" s="267">
        <v>0</v>
      </c>
      <c r="I122" s="265">
        <v>0.61808782235276971</v>
      </c>
      <c r="J122" s="266">
        <v>9.9740693904069866E-2</v>
      </c>
      <c r="K122" s="266">
        <v>1.9167977908119276</v>
      </c>
      <c r="L122" s="266">
        <v>5.7496047241445553E-2</v>
      </c>
      <c r="M122" s="267">
        <v>1.3864001629035387</v>
      </c>
      <c r="N122" s="230"/>
      <c r="O122" s="161">
        <f t="shared" si="15"/>
        <v>0</v>
      </c>
      <c r="P122" s="162">
        <f t="shared" si="16"/>
        <v>0</v>
      </c>
      <c r="Q122" s="163">
        <f t="shared" si="17"/>
        <v>0</v>
      </c>
      <c r="R122" s="231"/>
      <c r="S122" s="161">
        <f t="shared" si="18"/>
        <v>4.0785225172137514</v>
      </c>
      <c r="T122" s="285" t="str">
        <f t="shared" si="19"/>
        <v>0</v>
      </c>
    </row>
    <row r="123" spans="1:20" s="239" customFormat="1" ht="15" customHeight="1">
      <c r="A123" s="859"/>
      <c r="B123" s="1941"/>
      <c r="C123" s="870" t="s">
        <v>469</v>
      </c>
      <c r="D123" s="263">
        <v>0</v>
      </c>
      <c r="E123" s="266">
        <v>0</v>
      </c>
      <c r="F123" s="266">
        <v>0</v>
      </c>
      <c r="G123" s="266">
        <v>0</v>
      </c>
      <c r="H123" s="267">
        <v>0</v>
      </c>
      <c r="I123" s="265">
        <v>0.7920460940603955</v>
      </c>
      <c r="J123" s="266">
        <v>0.83117244920058242</v>
      </c>
      <c r="K123" s="266">
        <v>0.40335923861898287</v>
      </c>
      <c r="L123" s="266">
        <v>0</v>
      </c>
      <c r="M123" s="267">
        <v>0</v>
      </c>
      <c r="N123" s="230"/>
      <c r="O123" s="161">
        <f t="shared" si="15"/>
        <v>0</v>
      </c>
      <c r="P123" s="162">
        <f t="shared" si="16"/>
        <v>0</v>
      </c>
      <c r="Q123" s="163">
        <f t="shared" si="17"/>
        <v>0</v>
      </c>
      <c r="R123" s="231"/>
      <c r="S123" s="161">
        <f t="shared" si="18"/>
        <v>2.0265777818799608</v>
      </c>
      <c r="T123" s="285" t="str">
        <f t="shared" si="19"/>
        <v>0</v>
      </c>
    </row>
    <row r="124" spans="1:20" s="239" customFormat="1" ht="15" customHeight="1">
      <c r="A124" s="859"/>
      <c r="B124" s="1941"/>
      <c r="C124" s="870" t="s">
        <v>471</v>
      </c>
      <c r="D124" s="263">
        <v>0</v>
      </c>
      <c r="E124" s="266">
        <v>0</v>
      </c>
      <c r="F124" s="266">
        <v>0</v>
      </c>
      <c r="G124" s="266">
        <v>0</v>
      </c>
      <c r="H124" s="267">
        <v>7.3020418751833946E-2</v>
      </c>
      <c r="I124" s="265">
        <v>0.47522765643623727</v>
      </c>
      <c r="J124" s="266">
        <v>0.49870346952034944</v>
      </c>
      <c r="K124" s="266">
        <v>9.6806217268555858E-2</v>
      </c>
      <c r="L124" s="266">
        <v>9.1993675586312884E-2</v>
      </c>
      <c r="M124" s="267">
        <v>9.3274386240518481E-2</v>
      </c>
      <c r="N124" s="230"/>
      <c r="O124" s="161">
        <f t="shared" si="15"/>
        <v>0</v>
      </c>
      <c r="P124" s="162">
        <f t="shared" si="16"/>
        <v>7.3020418751833946E-2</v>
      </c>
      <c r="Q124" s="163">
        <f t="shared" si="17"/>
        <v>7.3020418751833946E-2</v>
      </c>
      <c r="R124" s="231"/>
      <c r="S124" s="161">
        <f t="shared" si="18"/>
        <v>1.256005405051974</v>
      </c>
      <c r="T124" s="285">
        <f t="shared" si="19"/>
        <v>16.200742292653981</v>
      </c>
    </row>
    <row r="125" spans="1:20" s="239" customFormat="1" ht="15" customHeight="1">
      <c r="A125" s="859"/>
      <c r="B125" s="1945" t="s">
        <v>474</v>
      </c>
      <c r="C125" s="870" t="s">
        <v>475</v>
      </c>
      <c r="D125" s="263">
        <v>0</v>
      </c>
      <c r="E125" s="266">
        <v>0</v>
      </c>
      <c r="F125" s="266">
        <v>0</v>
      </c>
      <c r="G125" s="266">
        <v>0</v>
      </c>
      <c r="H125" s="267">
        <v>0</v>
      </c>
      <c r="I125" s="265">
        <v>0.19801152351509888</v>
      </c>
      <c r="J125" s="266">
        <v>0.2077931123001456</v>
      </c>
      <c r="K125" s="266">
        <v>0.20167961930949144</v>
      </c>
      <c r="L125" s="266">
        <v>0.19165349080481855</v>
      </c>
      <c r="M125" s="267">
        <v>0.19432163800108018</v>
      </c>
      <c r="N125" s="230"/>
      <c r="O125" s="161">
        <f t="shared" si="15"/>
        <v>0</v>
      </c>
      <c r="P125" s="162">
        <f t="shared" si="16"/>
        <v>0</v>
      </c>
      <c r="Q125" s="163">
        <f t="shared" si="17"/>
        <v>0</v>
      </c>
      <c r="R125" s="231"/>
      <c r="S125" s="161">
        <f t="shared" si="18"/>
        <v>0.9934593839306346</v>
      </c>
      <c r="T125" s="285" t="str">
        <f t="shared" si="19"/>
        <v>0</v>
      </c>
    </row>
    <row r="126" spans="1:20" s="239" customFormat="1" ht="15" customHeight="1">
      <c r="A126" s="859"/>
      <c r="B126" s="1941"/>
      <c r="C126" s="871" t="s">
        <v>476</v>
      </c>
      <c r="D126" s="263">
        <v>0</v>
      </c>
      <c r="E126" s="266">
        <v>0</v>
      </c>
      <c r="F126" s="266">
        <v>0</v>
      </c>
      <c r="G126" s="266">
        <v>0</v>
      </c>
      <c r="H126" s="267">
        <v>0</v>
      </c>
      <c r="I126" s="265">
        <v>0</v>
      </c>
      <c r="J126" s="266">
        <v>0</v>
      </c>
      <c r="K126" s="266">
        <v>0</v>
      </c>
      <c r="L126" s="266">
        <v>0</v>
      </c>
      <c r="M126" s="267">
        <v>0</v>
      </c>
      <c r="N126" s="230"/>
      <c r="O126" s="161">
        <f t="shared" si="15"/>
        <v>0</v>
      </c>
      <c r="P126" s="162">
        <f t="shared" si="16"/>
        <v>0</v>
      </c>
      <c r="Q126" s="163">
        <f t="shared" si="17"/>
        <v>0</v>
      </c>
      <c r="R126" s="231"/>
      <c r="S126" s="161">
        <f t="shared" si="18"/>
        <v>0</v>
      </c>
      <c r="T126" s="285" t="str">
        <f t="shared" si="19"/>
        <v>0</v>
      </c>
    </row>
    <row r="127" spans="1:20" s="239" customFormat="1" ht="15" customHeight="1">
      <c r="A127" s="859"/>
      <c r="B127" s="1941"/>
      <c r="C127" s="870" t="s">
        <v>469</v>
      </c>
      <c r="D127" s="263">
        <v>0</v>
      </c>
      <c r="E127" s="263">
        <v>0</v>
      </c>
      <c r="F127" s="263">
        <v>0</v>
      </c>
      <c r="G127" s="263">
        <v>0</v>
      </c>
      <c r="H127" s="264">
        <v>0</v>
      </c>
      <c r="I127" s="265">
        <v>0</v>
      </c>
      <c r="J127" s="263">
        <v>0</v>
      </c>
      <c r="K127" s="263">
        <v>0</v>
      </c>
      <c r="L127" s="263">
        <v>0</v>
      </c>
      <c r="M127" s="264">
        <v>0</v>
      </c>
      <c r="N127" s="230"/>
      <c r="O127" s="161">
        <f t="shared" si="15"/>
        <v>0</v>
      </c>
      <c r="P127" s="162">
        <f t="shared" si="16"/>
        <v>0</v>
      </c>
      <c r="Q127" s="163">
        <f t="shared" si="17"/>
        <v>0</v>
      </c>
      <c r="R127" s="231"/>
      <c r="S127" s="161">
        <f t="shared" si="18"/>
        <v>0</v>
      </c>
      <c r="T127" s="285" t="str">
        <f t="shared" si="19"/>
        <v>0</v>
      </c>
    </row>
    <row r="128" spans="1:20" s="239" customFormat="1" ht="15" customHeight="1">
      <c r="A128" s="859"/>
      <c r="B128" s="1941"/>
      <c r="C128" s="870" t="s">
        <v>477</v>
      </c>
      <c r="D128" s="263">
        <v>0</v>
      </c>
      <c r="E128" s="263">
        <v>0</v>
      </c>
      <c r="F128" s="263">
        <v>0</v>
      </c>
      <c r="G128" s="263">
        <v>0</v>
      </c>
      <c r="H128" s="264">
        <v>0</v>
      </c>
      <c r="I128" s="265">
        <v>0.68544461026080694</v>
      </c>
      <c r="J128" s="263">
        <v>0</v>
      </c>
      <c r="K128" s="263">
        <v>0</v>
      </c>
      <c r="L128" s="263">
        <v>3.8330698160963704E-2</v>
      </c>
      <c r="M128" s="264">
        <v>1.0326656032384443</v>
      </c>
      <c r="N128" s="230"/>
      <c r="O128" s="161">
        <f t="shared" si="15"/>
        <v>0</v>
      </c>
      <c r="P128" s="162">
        <f t="shared" si="16"/>
        <v>0</v>
      </c>
      <c r="Q128" s="163">
        <f t="shared" si="17"/>
        <v>0</v>
      </c>
      <c r="R128" s="231"/>
      <c r="S128" s="161">
        <f t="shared" si="18"/>
        <v>1.7564409116602149</v>
      </c>
      <c r="T128" s="285" t="str">
        <f t="shared" si="19"/>
        <v>0</v>
      </c>
    </row>
    <row r="129" spans="1:20" s="239" customFormat="1" ht="15" customHeight="1">
      <c r="A129" s="859"/>
      <c r="B129" s="872" t="s">
        <v>478</v>
      </c>
      <c r="C129" s="871" t="s">
        <v>472</v>
      </c>
      <c r="D129" s="286">
        <v>1.4128408490660982</v>
      </c>
      <c r="E129" s="286">
        <v>0.93899893474323826</v>
      </c>
      <c r="F129" s="286">
        <v>1.0668936591236149</v>
      </c>
      <c r="G129" s="286">
        <v>1.0231105445473696</v>
      </c>
      <c r="H129" s="287">
        <v>1.387387956284845</v>
      </c>
      <c r="I129" s="288">
        <v>2.8242609332095361</v>
      </c>
      <c r="J129" s="286">
        <v>1.695591796369188</v>
      </c>
      <c r="K129" s="286">
        <v>3.7480487341421096</v>
      </c>
      <c r="L129" s="286">
        <v>1.0464280597943092</v>
      </c>
      <c r="M129" s="287">
        <v>3.3829010906273407</v>
      </c>
      <c r="N129" s="230"/>
      <c r="O129" s="161">
        <f t="shared" si="15"/>
        <v>4.4418439874803211</v>
      </c>
      <c r="P129" s="162">
        <f t="shared" si="16"/>
        <v>1.387387956284845</v>
      </c>
      <c r="Q129" s="163">
        <f t="shared" si="17"/>
        <v>5.8292319437651656</v>
      </c>
      <c r="R129" s="231"/>
      <c r="S129" s="161">
        <f t="shared" si="18"/>
        <v>12.697230614142482</v>
      </c>
      <c r="T129" s="285">
        <f t="shared" si="19"/>
        <v>1.1781995872926614</v>
      </c>
    </row>
    <row r="130" spans="1:20" s="239" customFormat="1" ht="15" customHeight="1">
      <c r="A130" s="859"/>
      <c r="B130" s="1945" t="s">
        <v>479</v>
      </c>
      <c r="C130" s="870" t="s">
        <v>467</v>
      </c>
      <c r="D130" s="263">
        <v>4.5164012503985038</v>
      </c>
      <c r="E130" s="266">
        <v>2.7911279343349804</v>
      </c>
      <c r="F130" s="266">
        <v>1.6062992602216393</v>
      </c>
      <c r="G130" s="266">
        <v>1.5523465068388831</v>
      </c>
      <c r="H130" s="267">
        <v>0</v>
      </c>
      <c r="I130" s="265">
        <v>0</v>
      </c>
      <c r="J130" s="266">
        <v>0</v>
      </c>
      <c r="K130" s="266">
        <v>0</v>
      </c>
      <c r="L130" s="266">
        <v>0</v>
      </c>
      <c r="M130" s="267">
        <v>0</v>
      </c>
      <c r="N130" s="230"/>
      <c r="O130" s="161">
        <f t="shared" si="15"/>
        <v>10.466174951794008</v>
      </c>
      <c r="P130" s="162">
        <f t="shared" si="16"/>
        <v>0</v>
      </c>
      <c r="Q130" s="163">
        <f t="shared" si="17"/>
        <v>10.466174951794008</v>
      </c>
      <c r="R130" s="231"/>
      <c r="S130" s="161">
        <f t="shared" si="18"/>
        <v>0</v>
      </c>
      <c r="T130" s="285">
        <f t="shared" si="19"/>
        <v>-1</v>
      </c>
    </row>
    <row r="131" spans="1:20" s="239" customFormat="1" ht="15" customHeight="1">
      <c r="A131" s="859"/>
      <c r="B131" s="1941"/>
      <c r="C131" s="870" t="s">
        <v>468</v>
      </c>
      <c r="D131" s="263">
        <v>0</v>
      </c>
      <c r="E131" s="266">
        <v>0</v>
      </c>
      <c r="F131" s="266">
        <v>0</v>
      </c>
      <c r="G131" s="266">
        <v>0</v>
      </c>
      <c r="H131" s="267">
        <v>0</v>
      </c>
      <c r="I131" s="265">
        <v>0</v>
      </c>
      <c r="J131" s="266">
        <v>0</v>
      </c>
      <c r="K131" s="266">
        <v>0</v>
      </c>
      <c r="L131" s="266">
        <v>0</v>
      </c>
      <c r="M131" s="267">
        <v>0</v>
      </c>
      <c r="N131" s="230"/>
      <c r="O131" s="161">
        <f t="shared" si="15"/>
        <v>0</v>
      </c>
      <c r="P131" s="162">
        <f t="shared" si="16"/>
        <v>0</v>
      </c>
      <c r="Q131" s="163">
        <f t="shared" si="17"/>
        <v>0</v>
      </c>
      <c r="R131" s="231"/>
      <c r="S131" s="161">
        <f t="shared" si="18"/>
        <v>0</v>
      </c>
      <c r="T131" s="285" t="str">
        <f t="shared" si="19"/>
        <v>0</v>
      </c>
    </row>
    <row r="132" spans="1:20" s="239" customFormat="1" ht="15" customHeight="1">
      <c r="A132" s="859"/>
      <c r="B132" s="1941"/>
      <c r="C132" s="870" t="s">
        <v>469</v>
      </c>
      <c r="D132" s="263">
        <v>0</v>
      </c>
      <c r="E132" s="266">
        <v>0</v>
      </c>
      <c r="F132" s="266">
        <v>0</v>
      </c>
      <c r="G132" s="266">
        <v>0</v>
      </c>
      <c r="H132" s="267">
        <v>0</v>
      </c>
      <c r="I132" s="265">
        <v>0</v>
      </c>
      <c r="J132" s="266">
        <v>0</v>
      </c>
      <c r="K132" s="266">
        <v>0</v>
      </c>
      <c r="L132" s="266">
        <v>0</v>
      </c>
      <c r="M132" s="267">
        <v>0</v>
      </c>
      <c r="N132" s="230"/>
      <c r="O132" s="161">
        <f t="shared" si="15"/>
        <v>0</v>
      </c>
      <c r="P132" s="162">
        <f t="shared" si="16"/>
        <v>0</v>
      </c>
      <c r="Q132" s="163">
        <f t="shared" si="17"/>
        <v>0</v>
      </c>
      <c r="R132" s="231"/>
      <c r="S132" s="161">
        <f t="shared" si="18"/>
        <v>0</v>
      </c>
      <c r="T132" s="285" t="str">
        <f t="shared" si="19"/>
        <v>0</v>
      </c>
    </row>
    <row r="133" spans="1:20" s="239" customFormat="1" ht="15" customHeight="1">
      <c r="A133" s="859"/>
      <c r="B133" s="1941"/>
      <c r="C133" s="870" t="s">
        <v>471</v>
      </c>
      <c r="D133" s="263">
        <v>0</v>
      </c>
      <c r="E133" s="266">
        <v>0</v>
      </c>
      <c r="F133" s="266">
        <v>0</v>
      </c>
      <c r="G133" s="266">
        <v>0</v>
      </c>
      <c r="H133" s="267">
        <v>0</v>
      </c>
      <c r="I133" s="265">
        <v>0</v>
      </c>
      <c r="J133" s="266">
        <v>0</v>
      </c>
      <c r="K133" s="266">
        <v>0</v>
      </c>
      <c r="L133" s="266">
        <v>0</v>
      </c>
      <c r="M133" s="267">
        <v>0</v>
      </c>
      <c r="N133" s="230"/>
      <c r="O133" s="161">
        <f t="shared" si="15"/>
        <v>0</v>
      </c>
      <c r="P133" s="162">
        <f t="shared" si="16"/>
        <v>0</v>
      </c>
      <c r="Q133" s="163">
        <f t="shared" si="17"/>
        <v>0</v>
      </c>
      <c r="R133" s="231"/>
      <c r="S133" s="161">
        <f t="shared" si="18"/>
        <v>0</v>
      </c>
      <c r="T133" s="285" t="str">
        <f t="shared" si="19"/>
        <v>0</v>
      </c>
    </row>
    <row r="134" spans="1:20" s="239" customFormat="1" ht="15" customHeight="1">
      <c r="A134" s="859"/>
      <c r="B134" s="1945" t="s">
        <v>480</v>
      </c>
      <c r="C134" s="870" t="s">
        <v>475</v>
      </c>
      <c r="D134" s="263">
        <v>0</v>
      </c>
      <c r="E134" s="266">
        <v>0</v>
      </c>
      <c r="F134" s="266">
        <v>0</v>
      </c>
      <c r="G134" s="266">
        <v>0</v>
      </c>
      <c r="H134" s="267">
        <v>0</v>
      </c>
      <c r="I134" s="265">
        <v>0.24023237522815463</v>
      </c>
      <c r="J134" s="266">
        <v>0.25197028177021075</v>
      </c>
      <c r="K134" s="266">
        <v>0.24463409018142565</v>
      </c>
      <c r="L134" s="266">
        <v>0.2340046051346967</v>
      </c>
      <c r="M134" s="267">
        <v>0.23579143877955649</v>
      </c>
      <c r="N134" s="230"/>
      <c r="O134" s="161">
        <f t="shared" si="15"/>
        <v>0</v>
      </c>
      <c r="P134" s="162">
        <f t="shared" si="16"/>
        <v>0</v>
      </c>
      <c r="Q134" s="163">
        <f t="shared" si="17"/>
        <v>0</v>
      </c>
      <c r="R134" s="231"/>
      <c r="S134" s="161">
        <f t="shared" si="18"/>
        <v>1.2066327910940442</v>
      </c>
      <c r="T134" s="285" t="str">
        <f t="shared" si="19"/>
        <v>0</v>
      </c>
    </row>
    <row r="135" spans="1:20" s="239" customFormat="1" ht="15" customHeight="1">
      <c r="A135" s="859"/>
      <c r="B135" s="1941"/>
      <c r="C135" s="871" t="s">
        <v>476</v>
      </c>
      <c r="D135" s="263">
        <v>0</v>
      </c>
      <c r="E135" s="266">
        <v>0</v>
      </c>
      <c r="F135" s="266">
        <v>0</v>
      </c>
      <c r="G135" s="266">
        <v>0</v>
      </c>
      <c r="H135" s="267">
        <v>0</v>
      </c>
      <c r="I135" s="265">
        <v>4.6267201966249445</v>
      </c>
      <c r="J135" s="266">
        <v>2.5904216368846735</v>
      </c>
      <c r="K135" s="266">
        <v>3.4958154405638013</v>
      </c>
      <c r="L135" s="266">
        <v>3.1600847694428444</v>
      </c>
      <c r="M135" s="267">
        <v>2.1681195709501995</v>
      </c>
      <c r="N135" s="230"/>
      <c r="O135" s="161">
        <f t="shared" si="15"/>
        <v>0</v>
      </c>
      <c r="P135" s="162">
        <f t="shared" si="16"/>
        <v>0</v>
      </c>
      <c r="Q135" s="163">
        <f t="shared" si="17"/>
        <v>0</v>
      </c>
      <c r="R135" s="231"/>
      <c r="S135" s="161">
        <f t="shared" si="18"/>
        <v>16.041161614466464</v>
      </c>
      <c r="T135" s="285" t="str">
        <f t="shared" si="19"/>
        <v>0</v>
      </c>
    </row>
    <row r="136" spans="1:20" s="239" customFormat="1" ht="15" customHeight="1">
      <c r="A136" s="859"/>
      <c r="B136" s="1941"/>
      <c r="C136" s="870" t="s">
        <v>469</v>
      </c>
      <c r="D136" s="263">
        <v>0</v>
      </c>
      <c r="E136" s="266">
        <v>0</v>
      </c>
      <c r="F136" s="266">
        <v>0</v>
      </c>
      <c r="G136" s="266">
        <v>0</v>
      </c>
      <c r="H136" s="267">
        <v>0</v>
      </c>
      <c r="I136" s="265">
        <v>0.40038729204692436</v>
      </c>
      <c r="J136" s="266">
        <v>2.519702817702107</v>
      </c>
      <c r="K136" s="266">
        <v>5.8712181643542154</v>
      </c>
      <c r="L136" s="266">
        <v>0</v>
      </c>
      <c r="M136" s="267">
        <v>0</v>
      </c>
      <c r="N136" s="230"/>
      <c r="O136" s="161">
        <f t="shared" si="15"/>
        <v>0</v>
      </c>
      <c r="P136" s="162">
        <f t="shared" si="16"/>
        <v>0</v>
      </c>
      <c r="Q136" s="163">
        <f t="shared" si="17"/>
        <v>0</v>
      </c>
      <c r="R136" s="231"/>
      <c r="S136" s="161">
        <f t="shared" si="18"/>
        <v>8.7913082741032476</v>
      </c>
      <c r="T136" s="285" t="str">
        <f t="shared" si="19"/>
        <v>0</v>
      </c>
    </row>
    <row r="137" spans="1:20" s="239" customFormat="1" ht="15" customHeight="1">
      <c r="A137" s="859"/>
      <c r="B137" s="1941"/>
      <c r="C137" s="870" t="s">
        <v>477</v>
      </c>
      <c r="D137" s="263">
        <v>0</v>
      </c>
      <c r="E137" s="266">
        <v>0</v>
      </c>
      <c r="F137" s="266">
        <v>0</v>
      </c>
      <c r="G137" s="266">
        <v>0</v>
      </c>
      <c r="H137" s="267">
        <v>6.0921200472344879</v>
      </c>
      <c r="I137" s="265">
        <v>0</v>
      </c>
      <c r="J137" s="266">
        <v>0</v>
      </c>
      <c r="K137" s="266">
        <v>3.0986984756313913E-2</v>
      </c>
      <c r="L137" s="266">
        <v>0.140402763080818</v>
      </c>
      <c r="M137" s="267">
        <v>0.99621332704338816</v>
      </c>
      <c r="N137" s="230"/>
      <c r="O137" s="161">
        <f t="shared" si="15"/>
        <v>0</v>
      </c>
      <c r="P137" s="162">
        <f t="shared" si="16"/>
        <v>6.0921200472344879</v>
      </c>
      <c r="Q137" s="163">
        <f t="shared" si="17"/>
        <v>6.0921200472344879</v>
      </c>
      <c r="R137" s="231"/>
      <c r="S137" s="161">
        <f t="shared" si="18"/>
        <v>1.1676030748805202</v>
      </c>
      <c r="T137" s="285">
        <f t="shared" si="19"/>
        <v>-0.80834207700641869</v>
      </c>
    </row>
    <row r="138" spans="1:20" s="239" customFormat="1" ht="15" customHeight="1" thickBot="1">
      <c r="A138" s="859"/>
      <c r="B138" s="873" t="s">
        <v>481</v>
      </c>
      <c r="C138" s="874" t="s">
        <v>472</v>
      </c>
      <c r="D138" s="289">
        <v>4.5164012503985038</v>
      </c>
      <c r="E138" s="289">
        <v>2.7911279343349804</v>
      </c>
      <c r="F138" s="289">
        <v>1.6062992602216393</v>
      </c>
      <c r="G138" s="289">
        <v>1.5523465068388831</v>
      </c>
      <c r="H138" s="290">
        <v>6.0921200472344879</v>
      </c>
      <c r="I138" s="291">
        <v>5.2673398639000242</v>
      </c>
      <c r="J138" s="289">
        <v>5.3620947363569913</v>
      </c>
      <c r="K138" s="289">
        <v>9.642654679855756</v>
      </c>
      <c r="L138" s="289">
        <v>3.5344921376583591</v>
      </c>
      <c r="M138" s="290">
        <v>3.4001243367731444</v>
      </c>
      <c r="N138" s="230"/>
      <c r="O138" s="186">
        <f t="shared" si="15"/>
        <v>10.466174951794008</v>
      </c>
      <c r="P138" s="187">
        <f t="shared" si="16"/>
        <v>6.0921200472344879</v>
      </c>
      <c r="Q138" s="188">
        <f t="shared" si="17"/>
        <v>16.558294999028497</v>
      </c>
      <c r="R138" s="231"/>
      <c r="S138" s="186">
        <f t="shared" si="18"/>
        <v>27.206705754544274</v>
      </c>
      <c r="T138" s="292">
        <f t="shared" si="19"/>
        <v>0.64308618466699241</v>
      </c>
    </row>
    <row r="139" spans="1:20" s="239" customFormat="1" ht="15" customHeight="1">
      <c r="A139" s="859"/>
      <c r="B139" s="230"/>
      <c r="C139" s="230"/>
      <c r="D139" s="230"/>
      <c r="E139" s="230"/>
      <c r="F139" s="230"/>
      <c r="G139" s="230"/>
      <c r="H139" s="230"/>
      <c r="I139" s="230"/>
      <c r="J139" s="230"/>
      <c r="K139" s="230"/>
      <c r="L139" s="230"/>
      <c r="M139" s="230"/>
      <c r="N139" s="230"/>
      <c r="O139" s="230"/>
      <c r="P139" s="230"/>
      <c r="Q139" s="230"/>
    </row>
    <row r="140" spans="1:20" s="239" customFormat="1" ht="15" customHeight="1">
      <c r="A140" s="859"/>
      <c r="B140" s="857" t="s">
        <v>482</v>
      </c>
      <c r="C140" s="230"/>
      <c r="D140" s="230"/>
      <c r="E140" s="230"/>
      <c r="F140" s="230"/>
      <c r="G140" s="230"/>
      <c r="H140" s="230"/>
      <c r="I140" s="230"/>
      <c r="J140" s="230"/>
      <c r="K140" s="230"/>
      <c r="L140" s="230"/>
      <c r="M140" s="230"/>
      <c r="N140" s="230"/>
      <c r="O140" s="230"/>
      <c r="P140" s="230"/>
      <c r="Q140" s="230"/>
    </row>
    <row r="141" spans="1:20" s="239" customFormat="1" ht="15" customHeight="1" thickBot="1">
      <c r="A141" s="859"/>
      <c r="B141" s="230"/>
      <c r="C141" s="230"/>
      <c r="E141" s="230"/>
      <c r="F141" s="230"/>
      <c r="G141" s="230"/>
      <c r="H141" s="230"/>
      <c r="I141" s="230"/>
      <c r="J141" s="230"/>
      <c r="K141" s="230"/>
      <c r="L141" s="230"/>
      <c r="M141" s="230"/>
      <c r="N141" s="230"/>
      <c r="O141" s="230"/>
      <c r="P141" s="230"/>
      <c r="Q141" s="230"/>
    </row>
    <row r="142" spans="1:20" s="239" customFormat="1" ht="15" customHeight="1">
      <c r="A142" s="859"/>
      <c r="B142" s="1933" t="s">
        <v>444</v>
      </c>
      <c r="C142" s="1934"/>
      <c r="D142" s="242" t="s">
        <v>445</v>
      </c>
      <c r="E142" s="240"/>
      <c r="F142" s="240"/>
      <c r="G142" s="240"/>
      <c r="H142" s="241"/>
      <c r="I142" s="242" t="s">
        <v>446</v>
      </c>
      <c r="J142" s="240"/>
      <c r="K142" s="240"/>
      <c r="L142" s="240"/>
      <c r="M142" s="241"/>
      <c r="N142" s="230"/>
      <c r="O142" s="243" t="s">
        <v>211</v>
      </c>
      <c r="P142" s="244"/>
      <c r="Q142" s="245"/>
      <c r="R142" s="231"/>
      <c r="S142" s="243" t="s">
        <v>212</v>
      </c>
      <c r="T142" s="245"/>
    </row>
    <row r="143" spans="1:20" s="239" customFormat="1" ht="15" customHeight="1">
      <c r="A143" s="859"/>
      <c r="B143" s="1935"/>
      <c r="C143" s="1936"/>
      <c r="D143" s="249" t="s">
        <v>99</v>
      </c>
      <c r="E143" s="247" t="s">
        <v>100</v>
      </c>
      <c r="F143" s="247" t="s">
        <v>101</v>
      </c>
      <c r="G143" s="247" t="s">
        <v>102</v>
      </c>
      <c r="H143" s="248" t="s">
        <v>64</v>
      </c>
      <c r="I143" s="249" t="s">
        <v>213</v>
      </c>
      <c r="J143" s="247" t="s">
        <v>214</v>
      </c>
      <c r="K143" s="247" t="s">
        <v>215</v>
      </c>
      <c r="L143" s="247" t="s">
        <v>216</v>
      </c>
      <c r="M143" s="248" t="s">
        <v>465</v>
      </c>
      <c r="N143" s="230"/>
      <c r="O143" s="250" t="s">
        <v>218</v>
      </c>
      <c r="P143" s="251" t="s">
        <v>219</v>
      </c>
      <c r="Q143" s="252" t="s">
        <v>220</v>
      </c>
      <c r="R143" s="231"/>
      <c r="S143" s="250" t="s">
        <v>219</v>
      </c>
      <c r="T143" s="252" t="s">
        <v>221</v>
      </c>
    </row>
    <row r="144" spans="1:20" s="239" customFormat="1" ht="15" customHeight="1">
      <c r="A144" s="859"/>
      <c r="B144" s="1937"/>
      <c r="C144" s="1938"/>
      <c r="D144" s="249" t="s">
        <v>223</v>
      </c>
      <c r="E144" s="247" t="s">
        <v>223</v>
      </c>
      <c r="F144" s="247" t="s">
        <v>223</v>
      </c>
      <c r="G144" s="247" t="s">
        <v>223</v>
      </c>
      <c r="H144" s="248" t="s">
        <v>223</v>
      </c>
      <c r="I144" s="249" t="s">
        <v>223</v>
      </c>
      <c r="J144" s="247" t="s">
        <v>223</v>
      </c>
      <c r="K144" s="247" t="s">
        <v>223</v>
      </c>
      <c r="L144" s="247" t="s">
        <v>223</v>
      </c>
      <c r="M144" s="248" t="s">
        <v>223</v>
      </c>
      <c r="N144" s="230"/>
      <c r="O144" s="253"/>
      <c r="P144" s="254"/>
      <c r="Q144" s="255"/>
      <c r="R144" s="231"/>
      <c r="S144" s="256"/>
      <c r="T144" s="257"/>
    </row>
    <row r="145" spans="1:20" s="239" customFormat="1" ht="15" customHeight="1">
      <c r="A145" s="859"/>
      <c r="B145" s="875" t="s">
        <v>483</v>
      </c>
      <c r="C145" s="876" t="s">
        <v>484</v>
      </c>
      <c r="D145" s="293"/>
      <c r="E145" s="230"/>
      <c r="F145" s="230"/>
      <c r="G145" s="230"/>
      <c r="H145" s="294"/>
      <c r="I145" s="295"/>
      <c r="J145" s="230"/>
      <c r="K145" s="230"/>
      <c r="L145" s="230"/>
      <c r="M145" s="294"/>
      <c r="N145" s="230"/>
      <c r="O145" s="295"/>
      <c r="P145" s="230"/>
      <c r="Q145" s="294"/>
      <c r="S145" s="293"/>
      <c r="T145" s="296"/>
    </row>
    <row r="146" spans="1:20" s="239" customFormat="1" ht="15" customHeight="1">
      <c r="A146" s="859"/>
      <c r="B146" s="295"/>
      <c r="C146" s="877" t="s">
        <v>485</v>
      </c>
      <c r="D146" s="297"/>
      <c r="E146" s="298"/>
      <c r="F146" s="298"/>
      <c r="G146" s="298"/>
      <c r="H146" s="299"/>
      <c r="I146" s="297"/>
      <c r="J146" s="298"/>
      <c r="K146" s="298"/>
      <c r="L146" s="298"/>
      <c r="M146" s="299"/>
      <c r="N146" s="230"/>
      <c r="O146" s="161">
        <f t="shared" ref="O146:O153" si="20">SUM(D146:G146)</f>
        <v>0</v>
      </c>
      <c r="P146" s="162">
        <f t="shared" ref="P146:P153" si="21">H146</f>
        <v>0</v>
      </c>
      <c r="Q146" s="163">
        <f t="shared" ref="Q146:Q153" si="22">SUM(D146:H146)</f>
        <v>0</v>
      </c>
      <c r="R146" s="231"/>
      <c r="S146" s="161">
        <f t="shared" ref="S146:S153" si="23">SUM(I146:M146)</f>
        <v>0</v>
      </c>
      <c r="T146" s="285" t="str">
        <f t="shared" ref="T146:T153" si="24">IF(Q146&lt;&gt;0,(S146-Q146)/Q146,"0")</f>
        <v>0</v>
      </c>
    </row>
    <row r="147" spans="1:20" s="239" customFormat="1" ht="15" customHeight="1">
      <c r="A147" s="859"/>
      <c r="B147" s="295"/>
      <c r="C147" s="877" t="s">
        <v>486</v>
      </c>
      <c r="D147" s="300"/>
      <c r="E147" s="301"/>
      <c r="F147" s="301"/>
      <c r="G147" s="301"/>
      <c r="H147" s="302"/>
      <c r="I147" s="300"/>
      <c r="J147" s="301"/>
      <c r="K147" s="301"/>
      <c r="L147" s="301"/>
      <c r="M147" s="302"/>
      <c r="N147" s="230"/>
      <c r="O147" s="161">
        <f t="shared" si="20"/>
        <v>0</v>
      </c>
      <c r="P147" s="162">
        <f t="shared" si="21"/>
        <v>0</v>
      </c>
      <c r="Q147" s="163">
        <f t="shared" si="22"/>
        <v>0</v>
      </c>
      <c r="R147" s="231"/>
      <c r="S147" s="161">
        <f t="shared" si="23"/>
        <v>0</v>
      </c>
      <c r="T147" s="285" t="str">
        <f t="shared" si="24"/>
        <v>0</v>
      </c>
    </row>
    <row r="148" spans="1:20" s="239" customFormat="1" ht="15" customHeight="1">
      <c r="A148" s="859"/>
      <c r="B148" s="295"/>
      <c r="C148" s="878"/>
      <c r="D148" s="300"/>
      <c r="E148" s="301"/>
      <c r="F148" s="301"/>
      <c r="G148" s="301"/>
      <c r="H148" s="302"/>
      <c r="I148" s="300"/>
      <c r="J148" s="301"/>
      <c r="K148" s="301"/>
      <c r="L148" s="301"/>
      <c r="M148" s="302"/>
      <c r="N148" s="230"/>
      <c r="O148" s="161">
        <f t="shared" si="20"/>
        <v>0</v>
      </c>
      <c r="P148" s="162">
        <f t="shared" si="21"/>
        <v>0</v>
      </c>
      <c r="Q148" s="163">
        <f t="shared" si="22"/>
        <v>0</v>
      </c>
      <c r="R148" s="231"/>
      <c r="S148" s="161">
        <f t="shared" si="23"/>
        <v>0</v>
      </c>
      <c r="T148" s="285" t="str">
        <f t="shared" si="24"/>
        <v>0</v>
      </c>
    </row>
    <row r="149" spans="1:20" s="239" customFormat="1" ht="15" customHeight="1">
      <c r="A149" s="859"/>
      <c r="B149" s="295"/>
      <c r="C149" s="876"/>
      <c r="D149" s="293"/>
      <c r="E149" s="230"/>
      <c r="F149" s="230"/>
      <c r="G149" s="230"/>
      <c r="H149" s="294"/>
      <c r="I149" s="295"/>
      <c r="J149" s="230"/>
      <c r="K149" s="230"/>
      <c r="L149" s="230"/>
      <c r="M149" s="294"/>
      <c r="N149" s="230"/>
      <c r="O149" s="303"/>
      <c r="P149" s="304"/>
      <c r="Q149" s="305"/>
      <c r="R149" s="306"/>
      <c r="S149" s="303"/>
      <c r="T149" s="307"/>
    </row>
    <row r="150" spans="1:20" s="239" customFormat="1" ht="15" customHeight="1">
      <c r="A150" s="859"/>
      <c r="B150" s="295"/>
      <c r="C150" s="876" t="s">
        <v>487</v>
      </c>
      <c r="D150" s="293"/>
      <c r="E150" s="230"/>
      <c r="F150" s="230"/>
      <c r="G150" s="230"/>
      <c r="H150" s="294"/>
      <c r="I150" s="295"/>
      <c r="J150" s="230"/>
      <c r="K150" s="230"/>
      <c r="L150" s="230"/>
      <c r="M150" s="294"/>
      <c r="N150" s="230"/>
      <c r="O150" s="303"/>
      <c r="P150" s="304"/>
      <c r="Q150" s="305"/>
      <c r="R150" s="306"/>
      <c r="S150" s="303"/>
      <c r="T150" s="307"/>
    </row>
    <row r="151" spans="1:20" s="239" customFormat="1" ht="15" customHeight="1">
      <c r="A151" s="859"/>
      <c r="B151" s="295"/>
      <c r="C151" s="877" t="s">
        <v>485</v>
      </c>
      <c r="D151" s="297"/>
      <c r="E151" s="298"/>
      <c r="F151" s="298"/>
      <c r="G151" s="298"/>
      <c r="H151" s="299"/>
      <c r="I151" s="297"/>
      <c r="J151" s="298"/>
      <c r="K151" s="298"/>
      <c r="L151" s="298"/>
      <c r="M151" s="299"/>
      <c r="N151" s="230"/>
      <c r="O151" s="161">
        <f t="shared" si="20"/>
        <v>0</v>
      </c>
      <c r="P151" s="162">
        <f t="shared" si="21"/>
        <v>0</v>
      </c>
      <c r="Q151" s="163">
        <f t="shared" si="22"/>
        <v>0</v>
      </c>
      <c r="R151" s="231"/>
      <c r="S151" s="161">
        <f t="shared" si="23"/>
        <v>0</v>
      </c>
      <c r="T151" s="285" t="str">
        <f t="shared" si="24"/>
        <v>0</v>
      </c>
    </row>
    <row r="152" spans="1:20" s="239" customFormat="1" ht="15" customHeight="1">
      <c r="A152" s="859"/>
      <c r="B152" s="295"/>
      <c r="C152" s="877" t="s">
        <v>486</v>
      </c>
      <c r="D152" s="300"/>
      <c r="E152" s="301"/>
      <c r="F152" s="301"/>
      <c r="G152" s="301"/>
      <c r="H152" s="302"/>
      <c r="I152" s="300"/>
      <c r="J152" s="301"/>
      <c r="K152" s="301"/>
      <c r="L152" s="301"/>
      <c r="M152" s="302"/>
      <c r="N152" s="230"/>
      <c r="O152" s="161">
        <f t="shared" si="20"/>
        <v>0</v>
      </c>
      <c r="P152" s="162">
        <f t="shared" si="21"/>
        <v>0</v>
      </c>
      <c r="Q152" s="163">
        <f t="shared" si="22"/>
        <v>0</v>
      </c>
      <c r="R152" s="231"/>
      <c r="S152" s="161">
        <f t="shared" si="23"/>
        <v>0</v>
      </c>
      <c r="T152" s="285" t="str">
        <f t="shared" si="24"/>
        <v>0</v>
      </c>
    </row>
    <row r="153" spans="1:20" s="239" customFormat="1" ht="15" customHeight="1" thickBot="1">
      <c r="A153" s="859"/>
      <c r="B153" s="879"/>
      <c r="C153" s="880"/>
      <c r="D153" s="308"/>
      <c r="E153" s="309"/>
      <c r="F153" s="309"/>
      <c r="G153" s="309"/>
      <c r="H153" s="310"/>
      <c r="I153" s="308"/>
      <c r="J153" s="309"/>
      <c r="K153" s="309"/>
      <c r="L153" s="309"/>
      <c r="M153" s="310"/>
      <c r="N153" s="230"/>
      <c r="O153" s="186">
        <f t="shared" si="20"/>
        <v>0</v>
      </c>
      <c r="P153" s="187">
        <f t="shared" si="21"/>
        <v>0</v>
      </c>
      <c r="Q153" s="188">
        <f t="shared" si="22"/>
        <v>0</v>
      </c>
      <c r="R153" s="231"/>
      <c r="S153" s="186">
        <f t="shared" si="23"/>
        <v>0</v>
      </c>
      <c r="T153" s="292" t="str">
        <f t="shared" si="24"/>
        <v>0</v>
      </c>
    </row>
    <row r="154" spans="1:20" s="882" customFormat="1" ht="15" customHeight="1">
      <c r="A154" s="881"/>
      <c r="B154" s="230"/>
      <c r="E154" s="230"/>
      <c r="F154" s="230"/>
      <c r="G154" s="230"/>
      <c r="H154" s="230"/>
      <c r="I154" s="230"/>
      <c r="J154" s="230"/>
      <c r="K154" s="230"/>
      <c r="L154" s="230"/>
      <c r="M154" s="230"/>
      <c r="N154" s="230"/>
      <c r="O154" s="230"/>
      <c r="P154" s="230"/>
      <c r="Q154" s="230"/>
    </row>
    <row r="155" spans="1:20" s="882" customFormat="1" ht="15" customHeight="1">
      <c r="A155" s="881"/>
      <c r="B155" s="230"/>
      <c r="C155" s="230"/>
      <c r="E155" s="230"/>
      <c r="F155" s="230"/>
      <c r="G155" s="230"/>
      <c r="H155" s="230"/>
      <c r="I155" s="230"/>
      <c r="J155" s="230"/>
      <c r="K155" s="230"/>
      <c r="L155" s="230"/>
      <c r="M155" s="230"/>
      <c r="N155" s="230"/>
      <c r="O155" s="230"/>
      <c r="P155" s="230"/>
      <c r="Q155" s="230"/>
    </row>
    <row r="156" spans="1:20" s="882" customFormat="1" ht="15" customHeight="1">
      <c r="A156" s="881"/>
      <c r="B156" s="230"/>
      <c r="C156" s="230"/>
      <c r="E156" s="230"/>
      <c r="F156" s="230"/>
      <c r="G156" s="230"/>
      <c r="H156" s="230"/>
      <c r="I156" s="230"/>
      <c r="J156" s="230"/>
      <c r="K156" s="230"/>
      <c r="L156" s="230"/>
      <c r="M156" s="230"/>
      <c r="N156" s="230"/>
      <c r="O156" s="230"/>
      <c r="P156" s="230"/>
      <c r="Q156" s="230"/>
    </row>
    <row r="157" spans="1:20" s="882" customFormat="1" ht="15" customHeight="1">
      <c r="A157" s="881"/>
      <c r="B157" s="230"/>
      <c r="C157" s="230"/>
      <c r="E157" s="230"/>
      <c r="F157" s="230"/>
      <c r="G157" s="230"/>
      <c r="H157" s="230"/>
      <c r="I157" s="230"/>
      <c r="J157" s="230"/>
      <c r="K157" s="230"/>
      <c r="L157" s="230"/>
      <c r="M157" s="230"/>
      <c r="N157" s="230"/>
      <c r="O157" s="230"/>
      <c r="P157" s="230"/>
      <c r="Q157" s="230"/>
    </row>
    <row r="158" spans="1:20" s="882" customFormat="1" ht="15" customHeight="1">
      <c r="A158" s="881"/>
      <c r="B158" s="230"/>
      <c r="C158" s="230"/>
      <c r="E158" s="230"/>
      <c r="F158" s="230"/>
      <c r="G158" s="230"/>
      <c r="H158" s="230"/>
      <c r="I158" s="230"/>
      <c r="J158" s="230"/>
      <c r="K158" s="230"/>
      <c r="L158" s="230"/>
      <c r="M158" s="230"/>
      <c r="N158" s="230"/>
      <c r="O158" s="230"/>
      <c r="P158" s="230"/>
      <c r="Q158" s="230"/>
    </row>
    <row r="159" spans="1:20" s="882" customFormat="1" ht="15" customHeight="1">
      <c r="A159" s="881"/>
      <c r="B159" s="230"/>
      <c r="C159" s="230"/>
      <c r="E159" s="230"/>
      <c r="F159" s="230"/>
      <c r="G159" s="230"/>
      <c r="H159" s="230"/>
      <c r="I159" s="230"/>
      <c r="J159" s="230"/>
      <c r="K159" s="230"/>
      <c r="L159" s="230"/>
      <c r="M159" s="230"/>
      <c r="N159" s="230"/>
      <c r="O159" s="230"/>
      <c r="P159" s="230"/>
      <c r="Q159" s="230"/>
    </row>
    <row r="160" spans="1:20" s="882" customFormat="1" ht="15" customHeight="1">
      <c r="A160" s="881"/>
      <c r="B160" s="230"/>
      <c r="C160" s="230"/>
      <c r="E160" s="230"/>
      <c r="F160" s="230"/>
      <c r="G160" s="230"/>
      <c r="H160" s="230"/>
      <c r="I160" s="230"/>
      <c r="J160" s="230"/>
      <c r="K160" s="230"/>
      <c r="L160" s="230"/>
      <c r="M160" s="230"/>
      <c r="N160" s="230"/>
      <c r="O160" s="230"/>
      <c r="P160" s="230"/>
      <c r="Q160" s="230"/>
    </row>
    <row r="161" spans="1:17" s="882" customFormat="1" ht="15" customHeight="1">
      <c r="A161" s="881"/>
      <c r="B161" s="230"/>
      <c r="C161" s="230"/>
      <c r="E161" s="230"/>
      <c r="F161" s="230"/>
      <c r="G161" s="230"/>
      <c r="H161" s="230"/>
      <c r="I161" s="230"/>
      <c r="J161" s="230"/>
      <c r="K161" s="230"/>
      <c r="L161" s="230"/>
      <c r="M161" s="230"/>
      <c r="N161" s="230"/>
      <c r="O161" s="230"/>
      <c r="P161" s="230"/>
      <c r="Q161" s="230"/>
    </row>
    <row r="162" spans="1:17" s="882" customFormat="1" ht="15" customHeight="1">
      <c r="A162" s="881"/>
      <c r="B162" s="230"/>
      <c r="C162" s="230"/>
      <c r="E162" s="230"/>
      <c r="F162" s="230"/>
      <c r="G162" s="230"/>
      <c r="H162" s="230"/>
      <c r="I162" s="230"/>
      <c r="J162" s="230"/>
      <c r="K162" s="230"/>
      <c r="L162" s="230"/>
      <c r="M162" s="230"/>
      <c r="N162" s="230"/>
      <c r="O162" s="230"/>
      <c r="P162" s="230"/>
      <c r="Q162" s="230"/>
    </row>
    <row r="163" spans="1:17" s="882" customFormat="1" ht="15" customHeight="1">
      <c r="A163" s="881"/>
      <c r="B163" s="230"/>
      <c r="C163" s="230"/>
      <c r="E163" s="230"/>
      <c r="F163" s="230"/>
      <c r="G163" s="230"/>
      <c r="H163" s="230"/>
      <c r="I163" s="230"/>
      <c r="J163" s="230"/>
      <c r="K163" s="230"/>
      <c r="L163" s="230"/>
      <c r="M163" s="230"/>
      <c r="N163" s="230"/>
      <c r="O163" s="230"/>
      <c r="P163" s="230"/>
      <c r="Q163" s="230"/>
    </row>
    <row r="164" spans="1:17" s="882" customFormat="1" ht="15" customHeight="1">
      <c r="A164" s="881"/>
      <c r="B164" s="230"/>
      <c r="C164" s="230"/>
      <c r="E164" s="230"/>
      <c r="F164" s="230"/>
      <c r="G164" s="230"/>
      <c r="H164" s="230"/>
      <c r="I164" s="230"/>
      <c r="J164" s="230"/>
      <c r="K164" s="230"/>
      <c r="L164" s="230"/>
      <c r="M164" s="230"/>
      <c r="N164" s="230"/>
      <c r="O164" s="230"/>
      <c r="P164" s="230"/>
      <c r="Q164" s="230"/>
    </row>
    <row r="165" spans="1:17" s="882" customFormat="1" ht="15" customHeight="1">
      <c r="A165" s="881"/>
      <c r="B165" s="230"/>
      <c r="C165" s="230"/>
      <c r="E165" s="230"/>
      <c r="F165" s="230"/>
      <c r="G165" s="230"/>
      <c r="H165" s="230"/>
      <c r="I165" s="230"/>
      <c r="J165" s="230"/>
      <c r="K165" s="230"/>
      <c r="L165" s="230"/>
      <c r="M165" s="230"/>
      <c r="N165" s="230"/>
      <c r="O165" s="230"/>
      <c r="P165" s="230"/>
      <c r="Q165" s="230"/>
    </row>
    <row r="166" spans="1:17" s="882" customFormat="1" ht="15" customHeight="1">
      <c r="A166" s="881"/>
      <c r="B166" s="230"/>
      <c r="C166" s="230"/>
      <c r="E166" s="230"/>
      <c r="F166" s="230"/>
      <c r="G166" s="230"/>
      <c r="H166" s="230"/>
      <c r="I166" s="230"/>
      <c r="J166" s="230"/>
      <c r="K166" s="230"/>
      <c r="L166" s="230"/>
      <c r="M166" s="230"/>
      <c r="N166" s="230"/>
      <c r="O166" s="230"/>
      <c r="P166" s="230"/>
      <c r="Q166" s="230"/>
    </row>
    <row r="167" spans="1:17" s="882" customFormat="1" ht="15" customHeight="1">
      <c r="A167" s="881"/>
      <c r="B167" s="230"/>
      <c r="C167" s="230"/>
      <c r="E167" s="230"/>
      <c r="F167" s="230"/>
      <c r="G167" s="230"/>
      <c r="H167" s="230"/>
      <c r="I167" s="230"/>
      <c r="J167" s="230"/>
      <c r="K167" s="230"/>
      <c r="L167" s="230"/>
      <c r="M167" s="230"/>
      <c r="N167" s="230"/>
      <c r="O167" s="230"/>
      <c r="P167" s="230"/>
      <c r="Q167" s="230"/>
    </row>
    <row r="168" spans="1:17" s="882" customFormat="1" ht="15" customHeight="1">
      <c r="A168" s="881"/>
      <c r="B168" s="230"/>
      <c r="C168" s="230"/>
      <c r="E168" s="230"/>
      <c r="F168" s="230"/>
      <c r="G168" s="230"/>
      <c r="H168" s="230"/>
      <c r="I168" s="230"/>
      <c r="J168" s="230"/>
      <c r="K168" s="230"/>
      <c r="L168" s="230"/>
      <c r="M168" s="230"/>
      <c r="N168" s="230"/>
      <c r="O168" s="230"/>
      <c r="P168" s="230"/>
      <c r="Q168" s="230"/>
    </row>
    <row r="169" spans="1:17" s="882" customFormat="1" ht="15" customHeight="1">
      <c r="A169" s="881"/>
      <c r="B169" s="230"/>
      <c r="C169" s="230"/>
      <c r="E169" s="230"/>
      <c r="F169" s="230"/>
      <c r="G169" s="230"/>
      <c r="H169" s="230"/>
      <c r="I169" s="230"/>
      <c r="J169" s="230"/>
      <c r="K169" s="230"/>
      <c r="L169" s="230"/>
      <c r="M169" s="230"/>
      <c r="N169" s="230"/>
      <c r="O169" s="230"/>
      <c r="P169" s="230"/>
      <c r="Q169" s="230"/>
    </row>
    <row r="170" spans="1:17" s="882" customFormat="1" ht="15" customHeight="1">
      <c r="A170" s="881"/>
      <c r="B170" s="230"/>
      <c r="C170" s="230"/>
      <c r="E170" s="230"/>
      <c r="F170" s="230"/>
      <c r="G170" s="230"/>
      <c r="H170" s="230"/>
      <c r="I170" s="230"/>
      <c r="J170" s="230"/>
      <c r="K170" s="230"/>
      <c r="L170" s="230"/>
      <c r="M170" s="230"/>
      <c r="N170" s="230"/>
      <c r="O170" s="230"/>
      <c r="P170" s="230"/>
      <c r="Q170" s="230"/>
    </row>
    <row r="171" spans="1:17" s="882" customFormat="1" ht="15" customHeight="1">
      <c r="A171" s="881"/>
      <c r="B171" s="230"/>
      <c r="C171" s="230"/>
      <c r="E171" s="230"/>
      <c r="F171" s="230"/>
      <c r="G171" s="230"/>
      <c r="H171" s="230"/>
      <c r="I171" s="230"/>
      <c r="J171" s="230"/>
      <c r="K171" s="230"/>
      <c r="L171" s="230"/>
      <c r="M171" s="230"/>
      <c r="N171" s="230"/>
      <c r="O171" s="230"/>
      <c r="P171" s="230"/>
      <c r="Q171" s="230"/>
    </row>
    <row r="172" spans="1:17" s="882" customFormat="1" ht="15" customHeight="1">
      <c r="A172" s="881"/>
      <c r="B172" s="230"/>
      <c r="C172" s="230"/>
      <c r="E172" s="230"/>
      <c r="F172" s="230"/>
      <c r="G172" s="230"/>
      <c r="H172" s="230"/>
      <c r="I172" s="230"/>
      <c r="J172" s="230"/>
      <c r="K172" s="230"/>
      <c r="L172" s="230"/>
      <c r="M172" s="230"/>
      <c r="N172" s="230"/>
      <c r="O172" s="230"/>
      <c r="P172" s="230"/>
      <c r="Q172" s="230"/>
    </row>
    <row r="173" spans="1:17" s="882" customFormat="1" ht="15" customHeight="1">
      <c r="A173" s="881"/>
      <c r="B173" s="230"/>
      <c r="C173" s="230"/>
      <c r="E173" s="230"/>
      <c r="F173" s="230"/>
      <c r="G173" s="230"/>
      <c r="H173" s="230"/>
      <c r="I173" s="230"/>
      <c r="J173" s="230"/>
      <c r="K173" s="230"/>
      <c r="L173" s="230"/>
      <c r="M173" s="230"/>
      <c r="N173" s="230"/>
      <c r="O173" s="230"/>
      <c r="P173" s="230"/>
      <c r="Q173" s="230"/>
    </row>
    <row r="174" spans="1:17" s="882" customFormat="1" ht="15" customHeight="1">
      <c r="A174" s="881"/>
      <c r="B174" s="230"/>
      <c r="C174" s="230"/>
      <c r="E174" s="230"/>
      <c r="F174" s="230"/>
      <c r="G174" s="230"/>
      <c r="H174" s="230"/>
      <c r="I174" s="230"/>
      <c r="J174" s="230"/>
      <c r="K174" s="230"/>
      <c r="L174" s="230"/>
      <c r="M174" s="230"/>
      <c r="N174" s="230"/>
      <c r="O174" s="230"/>
      <c r="P174" s="230"/>
      <c r="Q174" s="230"/>
    </row>
    <row r="175" spans="1:17" s="882" customFormat="1" ht="15" customHeight="1">
      <c r="A175" s="881"/>
      <c r="B175" s="230"/>
      <c r="C175" s="230"/>
      <c r="E175" s="230"/>
      <c r="F175" s="230"/>
      <c r="G175" s="230"/>
      <c r="H175" s="230"/>
      <c r="I175" s="230"/>
      <c r="J175" s="230"/>
      <c r="K175" s="230"/>
      <c r="L175" s="230"/>
      <c r="M175" s="230"/>
      <c r="N175" s="230"/>
      <c r="O175" s="230"/>
      <c r="P175" s="230"/>
      <c r="Q175" s="230"/>
    </row>
    <row r="176" spans="1:17" s="882" customFormat="1" ht="15" customHeight="1">
      <c r="A176" s="881"/>
      <c r="B176" s="230"/>
      <c r="C176" s="230"/>
      <c r="E176" s="230"/>
      <c r="F176" s="230"/>
      <c r="G176" s="230"/>
      <c r="H176" s="230"/>
      <c r="I176" s="230"/>
      <c r="J176" s="230"/>
      <c r="K176" s="230"/>
      <c r="L176" s="230"/>
      <c r="M176" s="230"/>
      <c r="N176" s="230"/>
      <c r="O176" s="230"/>
      <c r="P176" s="230"/>
      <c r="Q176" s="230"/>
    </row>
    <row r="177" spans="1:23" s="882" customFormat="1" ht="15" customHeight="1">
      <c r="A177" s="881"/>
      <c r="B177" s="230"/>
      <c r="C177" s="230"/>
      <c r="E177" s="230"/>
      <c r="F177" s="230"/>
      <c r="G177" s="230"/>
      <c r="H177" s="230"/>
      <c r="I177" s="230"/>
      <c r="J177" s="230"/>
      <c r="K177" s="230"/>
      <c r="L177" s="230"/>
      <c r="M177" s="230"/>
      <c r="N177" s="230"/>
      <c r="O177" s="230"/>
      <c r="P177" s="230"/>
      <c r="Q177" s="230"/>
    </row>
    <row r="178" spans="1:23" s="882" customFormat="1" ht="15" customHeight="1">
      <c r="A178" s="881"/>
      <c r="B178" s="230"/>
      <c r="C178" s="230"/>
      <c r="E178" s="230"/>
      <c r="F178" s="230"/>
      <c r="G178" s="230"/>
      <c r="H178" s="230"/>
      <c r="I178" s="230"/>
      <c r="J178" s="230"/>
      <c r="K178" s="230"/>
      <c r="L178" s="230"/>
      <c r="M178" s="230"/>
      <c r="N178" s="230"/>
      <c r="O178" s="230"/>
      <c r="P178" s="230"/>
      <c r="Q178" s="230"/>
    </row>
    <row r="179" spans="1:23" s="882" customFormat="1" ht="15" customHeight="1">
      <c r="A179" s="881"/>
      <c r="B179" s="230"/>
      <c r="C179" s="230"/>
      <c r="E179" s="230"/>
      <c r="F179" s="230"/>
      <c r="G179" s="230"/>
      <c r="H179" s="230"/>
      <c r="I179" s="230"/>
      <c r="J179" s="230"/>
      <c r="K179" s="230"/>
      <c r="L179" s="230"/>
      <c r="M179" s="230"/>
      <c r="N179" s="230"/>
      <c r="O179" s="230"/>
      <c r="P179" s="230"/>
      <c r="Q179" s="230"/>
    </row>
    <row r="180" spans="1:23" s="882" customFormat="1" ht="15" customHeight="1">
      <c r="A180" s="881"/>
      <c r="B180" s="230"/>
      <c r="C180" s="230"/>
      <c r="E180" s="230"/>
      <c r="F180" s="230"/>
      <c r="G180" s="230"/>
      <c r="H180" s="230"/>
      <c r="I180" s="230"/>
      <c r="J180" s="230"/>
      <c r="K180" s="230"/>
      <c r="L180" s="230"/>
      <c r="M180" s="230"/>
      <c r="N180" s="230"/>
      <c r="O180" s="230"/>
      <c r="P180" s="230"/>
      <c r="Q180" s="230"/>
    </row>
    <row r="181" spans="1:23" s="882" customFormat="1" ht="15" customHeight="1">
      <c r="A181" s="881"/>
      <c r="B181" s="230"/>
      <c r="C181" s="230"/>
      <c r="E181" s="230"/>
      <c r="F181" s="230"/>
      <c r="G181" s="230"/>
      <c r="H181" s="230"/>
      <c r="I181" s="230"/>
      <c r="J181" s="230"/>
      <c r="K181" s="230"/>
      <c r="L181" s="230"/>
      <c r="M181" s="230"/>
      <c r="N181" s="230"/>
      <c r="O181" s="230"/>
      <c r="P181" s="230"/>
      <c r="Q181" s="230"/>
    </row>
    <row r="182" spans="1:23" s="882" customFormat="1" ht="15" customHeight="1">
      <c r="A182" s="881"/>
      <c r="B182" s="230"/>
      <c r="C182" s="230"/>
      <c r="E182" s="230"/>
      <c r="F182" s="230"/>
      <c r="G182" s="230"/>
      <c r="H182" s="230"/>
      <c r="I182" s="230"/>
      <c r="J182" s="230"/>
      <c r="K182" s="230"/>
      <c r="L182" s="230"/>
      <c r="M182" s="230"/>
      <c r="N182" s="230"/>
      <c r="O182" s="230"/>
      <c r="P182" s="230"/>
      <c r="Q182" s="230"/>
    </row>
    <row r="183" spans="1:23" s="882" customFormat="1" ht="15" customHeight="1">
      <c r="A183" s="881"/>
      <c r="B183" s="230"/>
      <c r="C183" s="230"/>
      <c r="E183" s="230"/>
      <c r="F183" s="230"/>
      <c r="G183" s="230"/>
      <c r="H183" s="230"/>
      <c r="I183" s="230"/>
      <c r="J183" s="230"/>
      <c r="K183" s="230"/>
      <c r="L183" s="230"/>
      <c r="M183" s="230"/>
      <c r="N183" s="230"/>
      <c r="O183" s="230"/>
      <c r="P183" s="230"/>
      <c r="Q183" s="230"/>
    </row>
    <row r="184" spans="1:23" ht="15" customHeight="1">
      <c r="B184" s="884"/>
      <c r="C184" s="884"/>
      <c r="E184" s="884"/>
      <c r="F184" s="884"/>
      <c r="G184" s="884"/>
      <c r="H184" s="884"/>
      <c r="I184" s="884"/>
      <c r="J184" s="884"/>
      <c r="K184" s="884"/>
      <c r="L184" s="884"/>
      <c r="M184" s="884"/>
      <c r="N184" s="884"/>
      <c r="O184" s="884"/>
      <c r="P184" s="884"/>
      <c r="Q184" s="884"/>
      <c r="R184" s="885"/>
      <c r="S184" s="885"/>
      <c r="T184" s="885"/>
      <c r="U184" s="885"/>
      <c r="V184" s="885"/>
      <c r="W184" s="885"/>
    </row>
    <row r="185" spans="1:23" ht="15" customHeight="1">
      <c r="B185" s="884"/>
      <c r="C185" s="884"/>
      <c r="E185" s="884"/>
      <c r="F185" s="884"/>
      <c r="G185" s="884"/>
      <c r="H185" s="884"/>
      <c r="I185" s="884"/>
      <c r="J185" s="884"/>
      <c r="K185" s="884"/>
      <c r="L185" s="884"/>
      <c r="M185" s="884"/>
    </row>
    <row r="186" spans="1:23">
      <c r="B186" s="884"/>
      <c r="C186" s="884"/>
      <c r="E186" s="884"/>
      <c r="F186" s="884"/>
      <c r="G186" s="884"/>
      <c r="H186" s="884"/>
      <c r="I186" s="884"/>
      <c r="J186" s="884"/>
      <c r="K186" s="884"/>
      <c r="L186" s="884"/>
      <c r="M186" s="884"/>
    </row>
    <row r="187" spans="1:23">
      <c r="B187" s="884"/>
      <c r="C187" s="884"/>
      <c r="E187" s="884"/>
      <c r="F187" s="884"/>
      <c r="G187" s="884"/>
      <c r="H187" s="884"/>
      <c r="I187" s="884"/>
      <c r="J187" s="884"/>
      <c r="K187" s="884"/>
      <c r="L187" s="884"/>
      <c r="M187" s="884"/>
    </row>
  </sheetData>
  <mergeCells count="29">
    <mergeCell ref="B121:B124"/>
    <mergeCell ref="B125:B128"/>
    <mergeCell ref="B130:B133"/>
    <mergeCell ref="B134:B137"/>
    <mergeCell ref="B142:C144"/>
    <mergeCell ref="B115:B120"/>
    <mergeCell ref="B56:B61"/>
    <mergeCell ref="B62:B67"/>
    <mergeCell ref="B73:C75"/>
    <mergeCell ref="B76:B77"/>
    <mergeCell ref="B78:B79"/>
    <mergeCell ref="B80:B82"/>
    <mergeCell ref="B83:B88"/>
    <mergeCell ref="B89:B94"/>
    <mergeCell ref="B95:B100"/>
    <mergeCell ref="B106:C108"/>
    <mergeCell ref="B109:B114"/>
    <mergeCell ref="B50:B55"/>
    <mergeCell ref="B7:C9"/>
    <mergeCell ref="B10:B11"/>
    <mergeCell ref="B12:B13"/>
    <mergeCell ref="B14:B16"/>
    <mergeCell ref="B17:B22"/>
    <mergeCell ref="B23:B28"/>
    <mergeCell ref="B29:B34"/>
    <mergeCell ref="B40:C42"/>
    <mergeCell ref="B43:B44"/>
    <mergeCell ref="B45:B46"/>
    <mergeCell ref="B47:B49"/>
  </mergeCells>
  <phoneticPr fontId="2"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5FFFF"/>
    <pageSetUpPr fitToPage="1"/>
  </sheetPr>
  <dimension ref="A1:X137"/>
  <sheetViews>
    <sheetView zoomScale="80" zoomScaleNormal="80" zoomScaleSheetLayoutView="85" workbookViewId="0">
      <selection activeCell="S40" sqref="S40"/>
    </sheetView>
  </sheetViews>
  <sheetFormatPr defaultColWidth="10.28515625" defaultRowHeight="12.75"/>
  <cols>
    <col min="1" max="1" width="3.28515625" style="1023" customWidth="1"/>
    <col min="2" max="2" width="30.85546875" style="1023" customWidth="1"/>
    <col min="3" max="3" width="14.42578125" style="1023" customWidth="1"/>
    <col min="4" max="25" width="15" style="1023" customWidth="1"/>
    <col min="26" max="16384" width="10.28515625" style="1023"/>
  </cols>
  <sheetData>
    <row r="1" spans="1:13" s="891" customFormat="1" ht="26.25">
      <c r="A1" s="887" t="s">
        <v>363</v>
      </c>
      <c r="B1" s="888"/>
      <c r="C1" s="889"/>
      <c r="D1" s="889"/>
      <c r="E1" s="889"/>
      <c r="F1" s="889"/>
      <c r="G1" s="890"/>
    </row>
    <row r="2" spans="1:13" s="891" customFormat="1" ht="18">
      <c r="A2" s="888"/>
      <c r="B2" s="892"/>
    </row>
    <row r="3" spans="1:13" s="895" customFormat="1" ht="27" thickBot="1">
      <c r="A3" s="893" t="s">
        <v>488</v>
      </c>
      <c r="B3" s="894"/>
      <c r="D3" s="896"/>
    </row>
    <row r="5" spans="1:13" s="897" customFormat="1" ht="15.75" customHeight="1">
      <c r="B5" s="898" t="s">
        <v>489</v>
      </c>
    </row>
    <row r="6" spans="1:13" s="897" customFormat="1" ht="15.75" customHeight="1" thickBot="1"/>
    <row r="7" spans="1:13" s="897" customFormat="1" ht="15.75" customHeight="1">
      <c r="B7" s="1949"/>
      <c r="C7" s="1950"/>
      <c r="D7" s="899" t="s">
        <v>211</v>
      </c>
      <c r="E7" s="900"/>
      <c r="F7" s="900"/>
      <c r="G7" s="900"/>
      <c r="H7" s="901"/>
      <c r="I7" s="899" t="s">
        <v>212</v>
      </c>
      <c r="J7" s="902"/>
      <c r="K7" s="902"/>
      <c r="L7" s="902"/>
      <c r="M7" s="901"/>
    </row>
    <row r="8" spans="1:13" s="897" customFormat="1" ht="15.75" customHeight="1">
      <c r="B8" s="1951"/>
      <c r="C8" s="1952"/>
      <c r="D8" s="903" t="s">
        <v>99</v>
      </c>
      <c r="E8" s="904" t="s">
        <v>100</v>
      </c>
      <c r="F8" s="904" t="s">
        <v>101</v>
      </c>
      <c r="G8" s="904" t="s">
        <v>102</v>
      </c>
      <c r="H8" s="905" t="s">
        <v>64</v>
      </c>
      <c r="I8" s="903" t="s">
        <v>213</v>
      </c>
      <c r="J8" s="904" t="s">
        <v>214</v>
      </c>
      <c r="K8" s="904" t="s">
        <v>215</v>
      </c>
      <c r="L8" s="904" t="s">
        <v>216</v>
      </c>
      <c r="M8" s="905" t="s">
        <v>217</v>
      </c>
    </row>
    <row r="9" spans="1:13" s="897" customFormat="1" ht="15.75" customHeight="1">
      <c r="B9" s="906" t="s">
        <v>490</v>
      </c>
      <c r="C9" s="907"/>
      <c r="D9" s="908"/>
      <c r="E9" s="909"/>
      <c r="F9" s="909"/>
      <c r="G9" s="909"/>
      <c r="H9" s="910"/>
      <c r="I9" s="908"/>
      <c r="J9" s="909"/>
      <c r="K9" s="909"/>
      <c r="L9" s="909"/>
      <c r="M9" s="910"/>
    </row>
    <row r="10" spans="1:13" s="897" customFormat="1" ht="15.75" customHeight="1">
      <c r="B10" s="911" t="s">
        <v>491</v>
      </c>
      <c r="C10" s="907" t="s">
        <v>223</v>
      </c>
      <c r="D10" s="912">
        <f t="shared" ref="D10:M10" si="0">D37+D46</f>
        <v>0</v>
      </c>
      <c r="E10" s="913">
        <f t="shared" si="0"/>
        <v>0</v>
      </c>
      <c r="F10" s="913">
        <f t="shared" si="0"/>
        <v>0</v>
      </c>
      <c r="G10" s="913">
        <f t="shared" si="0"/>
        <v>0</v>
      </c>
      <c r="H10" s="910">
        <f t="shared" si="0"/>
        <v>0</v>
      </c>
      <c r="I10" s="912">
        <f t="shared" si="0"/>
        <v>0</v>
      </c>
      <c r="J10" s="914">
        <f t="shared" si="0"/>
        <v>0</v>
      </c>
      <c r="K10" s="914">
        <f t="shared" si="0"/>
        <v>0</v>
      </c>
      <c r="L10" s="914">
        <f t="shared" si="0"/>
        <v>0</v>
      </c>
      <c r="M10" s="915">
        <f t="shared" si="0"/>
        <v>0</v>
      </c>
    </row>
    <row r="11" spans="1:13" s="897" customFormat="1" ht="15.75" customHeight="1">
      <c r="B11" s="911" t="s">
        <v>492</v>
      </c>
      <c r="C11" s="907" t="s">
        <v>223</v>
      </c>
      <c r="D11" s="916"/>
      <c r="E11" s="916"/>
      <c r="F11" s="916"/>
      <c r="G11" s="916"/>
      <c r="H11" s="917"/>
      <c r="I11" s="918"/>
      <c r="J11" s="919"/>
      <c r="K11" s="919"/>
      <c r="L11" s="919"/>
      <c r="M11" s="920"/>
    </row>
    <row r="12" spans="1:13" s="897" customFormat="1" ht="15.75" customHeight="1">
      <c r="B12" s="911" t="s">
        <v>493</v>
      </c>
      <c r="C12" s="907" t="s">
        <v>223</v>
      </c>
      <c r="D12" s="916"/>
      <c r="E12" s="916"/>
      <c r="F12" s="916"/>
      <c r="G12" s="916"/>
      <c r="H12" s="917"/>
      <c r="I12" s="918"/>
      <c r="J12" s="919"/>
      <c r="K12" s="919"/>
      <c r="L12" s="919"/>
      <c r="M12" s="920"/>
    </row>
    <row r="13" spans="1:13" s="897" customFormat="1" ht="15.75" customHeight="1">
      <c r="B13" s="906" t="s">
        <v>494</v>
      </c>
      <c r="C13" s="907"/>
      <c r="D13" s="908"/>
      <c r="E13" s="909"/>
      <c r="F13" s="909"/>
      <c r="G13" s="909"/>
      <c r="H13" s="910"/>
      <c r="I13" s="908"/>
      <c r="J13" s="909"/>
      <c r="K13" s="909"/>
      <c r="L13" s="909"/>
      <c r="M13" s="910"/>
    </row>
    <row r="14" spans="1:13" s="897" customFormat="1" ht="15.75" customHeight="1">
      <c r="B14" s="911" t="s">
        <v>495</v>
      </c>
      <c r="C14" s="907" t="s">
        <v>223</v>
      </c>
      <c r="D14" s="916"/>
      <c r="E14" s="916"/>
      <c r="F14" s="916"/>
      <c r="G14" s="916"/>
      <c r="H14" s="917"/>
      <c r="I14" s="918"/>
      <c r="J14" s="919"/>
      <c r="K14" s="919"/>
      <c r="L14" s="919"/>
      <c r="M14" s="920"/>
    </row>
    <row r="15" spans="1:13" s="897" customFormat="1" ht="15.75" customHeight="1">
      <c r="B15" s="911" t="s">
        <v>496</v>
      </c>
      <c r="C15" s="907" t="s">
        <v>223</v>
      </c>
      <c r="D15" s="916"/>
      <c r="E15" s="916"/>
      <c r="F15" s="916"/>
      <c r="G15" s="916"/>
      <c r="H15" s="917"/>
      <c r="I15" s="918"/>
      <c r="J15" s="919"/>
      <c r="K15" s="919"/>
      <c r="L15" s="919"/>
      <c r="M15" s="920"/>
    </row>
    <row r="16" spans="1:13" s="897" customFormat="1" ht="15.75" customHeight="1">
      <c r="B16" s="911" t="s">
        <v>497</v>
      </c>
      <c r="C16" s="907" t="s">
        <v>223</v>
      </c>
      <c r="D16" s="916"/>
      <c r="E16" s="916"/>
      <c r="F16" s="916"/>
      <c r="G16" s="916"/>
      <c r="H16" s="917"/>
      <c r="I16" s="918"/>
      <c r="J16" s="919"/>
      <c r="K16" s="919"/>
      <c r="L16" s="919"/>
      <c r="M16" s="920"/>
    </row>
    <row r="17" spans="2:13" s="897" customFormat="1" ht="15.75" customHeight="1">
      <c r="B17" s="906" t="s">
        <v>435</v>
      </c>
      <c r="C17" s="907"/>
      <c r="D17" s="908"/>
      <c r="E17" s="909"/>
      <c r="F17" s="909"/>
      <c r="G17" s="909"/>
      <c r="H17" s="910"/>
      <c r="I17" s="908"/>
      <c r="J17" s="909"/>
      <c r="K17" s="909"/>
      <c r="L17" s="909"/>
      <c r="M17" s="910"/>
    </row>
    <row r="18" spans="2:13" s="897" customFormat="1" ht="15.75" customHeight="1">
      <c r="B18" s="911" t="s">
        <v>498</v>
      </c>
      <c r="C18" s="907" t="s">
        <v>223</v>
      </c>
      <c r="D18" s="916"/>
      <c r="E18" s="916"/>
      <c r="F18" s="916"/>
      <c r="G18" s="916"/>
      <c r="H18" s="917"/>
      <c r="I18" s="918"/>
      <c r="J18" s="919"/>
      <c r="K18" s="919"/>
      <c r="L18" s="919"/>
      <c r="M18" s="920"/>
    </row>
    <row r="19" spans="2:13" s="897" customFormat="1" ht="15.75" customHeight="1">
      <c r="B19" s="911" t="s">
        <v>499</v>
      </c>
      <c r="C19" s="907" t="s">
        <v>223</v>
      </c>
      <c r="D19" s="916"/>
      <c r="E19" s="916"/>
      <c r="F19" s="916"/>
      <c r="G19" s="916"/>
      <c r="H19" s="917"/>
      <c r="I19" s="918"/>
      <c r="J19" s="919"/>
      <c r="K19" s="919"/>
      <c r="L19" s="919"/>
      <c r="M19" s="920"/>
    </row>
    <row r="20" spans="2:13" s="897" customFormat="1" ht="15.75" customHeight="1">
      <c r="B20" s="911" t="s">
        <v>500</v>
      </c>
      <c r="C20" s="907" t="s">
        <v>223</v>
      </c>
      <c r="D20" s="916"/>
      <c r="E20" s="916"/>
      <c r="F20" s="916"/>
      <c r="G20" s="916"/>
      <c r="H20" s="917"/>
      <c r="I20" s="918"/>
      <c r="J20" s="919"/>
      <c r="K20" s="919"/>
      <c r="L20" s="919"/>
      <c r="M20" s="920"/>
    </row>
    <row r="21" spans="2:13" s="897" customFormat="1" ht="15.75" customHeight="1">
      <c r="B21" s="911" t="s">
        <v>501</v>
      </c>
      <c r="C21" s="907" t="s">
        <v>223</v>
      </c>
      <c r="D21" s="916"/>
      <c r="E21" s="916"/>
      <c r="F21" s="916"/>
      <c r="G21" s="916"/>
      <c r="H21" s="917"/>
      <c r="I21" s="918"/>
      <c r="J21" s="919"/>
      <c r="K21" s="919"/>
      <c r="L21" s="919"/>
      <c r="M21" s="920"/>
    </row>
    <row r="22" spans="2:13" s="923" customFormat="1" ht="15.75" customHeight="1">
      <c r="B22" s="921"/>
      <c r="C22" s="922" t="s">
        <v>223</v>
      </c>
      <c r="D22" s="916"/>
      <c r="E22" s="916"/>
      <c r="F22" s="916"/>
      <c r="G22" s="916"/>
      <c r="H22" s="917"/>
      <c r="I22" s="918"/>
      <c r="J22" s="919"/>
      <c r="K22" s="919"/>
      <c r="L22" s="919"/>
      <c r="M22" s="920"/>
    </row>
    <row r="23" spans="2:13" s="923" customFormat="1" ht="15.75" customHeight="1">
      <c r="B23" s="921" t="s">
        <v>502</v>
      </c>
      <c r="C23" s="922" t="s">
        <v>223</v>
      </c>
      <c r="D23" s="924"/>
      <c r="E23" s="924"/>
      <c r="F23" s="924"/>
      <c r="G23" s="924"/>
      <c r="H23" s="925"/>
      <c r="I23" s="926"/>
      <c r="J23" s="927"/>
      <c r="K23" s="927"/>
      <c r="L23" s="927"/>
      <c r="M23" s="928"/>
    </row>
    <row r="24" spans="2:13" s="923" customFormat="1" ht="15.75" customHeight="1">
      <c r="B24" s="921" t="s">
        <v>503</v>
      </c>
      <c r="C24" s="922" t="s">
        <v>223</v>
      </c>
      <c r="D24" s="924"/>
      <c r="E24" s="924"/>
      <c r="F24" s="924"/>
      <c r="G24" s="924"/>
      <c r="H24" s="925"/>
      <c r="I24" s="926"/>
      <c r="J24" s="927"/>
      <c r="K24" s="927"/>
      <c r="L24" s="927"/>
      <c r="M24" s="928"/>
    </row>
    <row r="25" spans="2:13" s="923" customFormat="1" ht="15.75" customHeight="1" thickBot="1">
      <c r="B25" s="929" t="s">
        <v>220</v>
      </c>
      <c r="C25" s="930" t="s">
        <v>223</v>
      </c>
      <c r="D25" s="931">
        <f t="shared" ref="D25:M25" si="1">SUM(D10:D24)</f>
        <v>0</v>
      </c>
      <c r="E25" s="932">
        <f t="shared" si="1"/>
        <v>0</v>
      </c>
      <c r="F25" s="932">
        <f t="shared" si="1"/>
        <v>0</v>
      </c>
      <c r="G25" s="932">
        <f t="shared" si="1"/>
        <v>0</v>
      </c>
      <c r="H25" s="932">
        <f t="shared" si="1"/>
        <v>0</v>
      </c>
      <c r="I25" s="931">
        <f t="shared" si="1"/>
        <v>0</v>
      </c>
      <c r="J25" s="932">
        <f t="shared" si="1"/>
        <v>0</v>
      </c>
      <c r="K25" s="932">
        <f t="shared" si="1"/>
        <v>0</v>
      </c>
      <c r="L25" s="932">
        <f t="shared" si="1"/>
        <v>0</v>
      </c>
      <c r="M25" s="933">
        <f t="shared" si="1"/>
        <v>0</v>
      </c>
    </row>
    <row r="26" spans="2:13" s="897" customFormat="1" ht="15.75" customHeight="1">
      <c r="B26" s="934"/>
      <c r="C26" s="935"/>
      <c r="D26" s="936"/>
      <c r="E26" s="936"/>
      <c r="F26" s="936"/>
    </row>
    <row r="27" spans="2:13" s="897" customFormat="1" ht="15.75" customHeight="1"/>
    <row r="28" spans="2:13" s="897" customFormat="1" ht="15.75" customHeight="1">
      <c r="B28" s="898" t="s">
        <v>504</v>
      </c>
      <c r="C28" s="898"/>
      <c r="D28" s="898"/>
      <c r="E28" s="898"/>
      <c r="F28" s="898"/>
      <c r="G28" s="898"/>
      <c r="H28" s="898"/>
      <c r="I28" s="898"/>
      <c r="J28" s="898"/>
      <c r="K28" s="898"/>
    </row>
    <row r="29" spans="2:13" s="897" customFormat="1" ht="15.75" customHeight="1">
      <c r="B29" s="898"/>
      <c r="C29" s="898"/>
      <c r="D29" s="898"/>
      <c r="E29" s="898"/>
      <c r="F29" s="898"/>
      <c r="G29" s="898"/>
      <c r="H29" s="898"/>
      <c r="I29" s="898"/>
      <c r="J29" s="898"/>
      <c r="K29" s="898"/>
    </row>
    <row r="30" spans="2:13" s="897" customFormat="1" ht="15.75" customHeight="1" thickBot="1">
      <c r="B30" s="937" t="s">
        <v>505</v>
      </c>
      <c r="C30" s="898"/>
      <c r="D30" s="898"/>
      <c r="E30" s="898"/>
      <c r="F30" s="898"/>
      <c r="G30" s="898"/>
      <c r="H30" s="898"/>
      <c r="I30" s="898"/>
      <c r="J30" s="898"/>
      <c r="K30" s="898"/>
    </row>
    <row r="31" spans="2:13" s="897" customFormat="1" ht="15.75" customHeight="1">
      <c r="B31" s="1949"/>
      <c r="C31" s="1950"/>
      <c r="D31" s="900" t="s">
        <v>211</v>
      </c>
      <c r="E31" s="900"/>
      <c r="F31" s="900"/>
      <c r="G31" s="900"/>
      <c r="H31" s="901"/>
      <c r="I31" s="899" t="s">
        <v>212</v>
      </c>
      <c r="J31" s="902"/>
      <c r="K31" s="902"/>
      <c r="L31" s="902"/>
      <c r="M31" s="901"/>
    </row>
    <row r="32" spans="2:13" s="897" customFormat="1" ht="15.75" customHeight="1">
      <c r="B32" s="1951"/>
      <c r="C32" s="1952"/>
      <c r="D32" s="938" t="s">
        <v>99</v>
      </c>
      <c r="E32" s="904" t="s">
        <v>100</v>
      </c>
      <c r="F32" s="904" t="s">
        <v>101</v>
      </c>
      <c r="G32" s="904" t="s">
        <v>102</v>
      </c>
      <c r="H32" s="905" t="s">
        <v>64</v>
      </c>
      <c r="I32" s="903" t="s">
        <v>213</v>
      </c>
      <c r="J32" s="904" t="s">
        <v>214</v>
      </c>
      <c r="K32" s="904" t="s">
        <v>215</v>
      </c>
      <c r="L32" s="904" t="s">
        <v>216</v>
      </c>
      <c r="M32" s="905" t="s">
        <v>217</v>
      </c>
    </row>
    <row r="33" spans="2:13" s="897" customFormat="1" ht="15.75" customHeight="1">
      <c r="B33" s="911" t="s">
        <v>438</v>
      </c>
      <c r="C33" s="907" t="s">
        <v>223</v>
      </c>
      <c r="D33" s="916"/>
      <c r="E33" s="916"/>
      <c r="F33" s="916"/>
      <c r="G33" s="916"/>
      <c r="H33" s="917"/>
      <c r="I33" s="918"/>
      <c r="J33" s="919"/>
      <c r="K33" s="919"/>
      <c r="L33" s="919"/>
      <c r="M33" s="920"/>
    </row>
    <row r="34" spans="2:13" s="897" customFormat="1" ht="15.75" customHeight="1">
      <c r="B34" s="911" t="s">
        <v>245</v>
      </c>
      <c r="C34" s="907" t="s">
        <v>223</v>
      </c>
      <c r="D34" s="916"/>
      <c r="E34" s="916"/>
      <c r="F34" s="916"/>
      <c r="G34" s="916"/>
      <c r="H34" s="917"/>
      <c r="I34" s="918"/>
      <c r="J34" s="919"/>
      <c r="K34" s="919"/>
      <c r="L34" s="919"/>
      <c r="M34" s="920"/>
    </row>
    <row r="35" spans="2:13" s="897" customFormat="1" ht="15.75" customHeight="1">
      <c r="B35" s="911" t="s">
        <v>427</v>
      </c>
      <c r="C35" s="907" t="s">
        <v>223</v>
      </c>
      <c r="D35" s="916"/>
      <c r="E35" s="916"/>
      <c r="F35" s="916"/>
      <c r="G35" s="916"/>
      <c r="H35" s="917"/>
      <c r="I35" s="918"/>
      <c r="J35" s="919"/>
      <c r="K35" s="919"/>
      <c r="L35" s="919"/>
      <c r="M35" s="920"/>
    </row>
    <row r="36" spans="2:13" s="897" customFormat="1" ht="15.75" customHeight="1">
      <c r="B36" s="911" t="s">
        <v>506</v>
      </c>
      <c r="C36" s="939" t="s">
        <v>223</v>
      </c>
      <c r="D36" s="916"/>
      <c r="E36" s="916"/>
      <c r="F36" s="916"/>
      <c r="G36" s="916"/>
      <c r="H36" s="917"/>
      <c r="I36" s="918"/>
      <c r="J36" s="919"/>
      <c r="K36" s="919"/>
      <c r="L36" s="919"/>
      <c r="M36" s="920"/>
    </row>
    <row r="37" spans="2:13" s="897" customFormat="1" ht="15.75" customHeight="1" thickBot="1">
      <c r="B37" s="940" t="s">
        <v>220</v>
      </c>
      <c r="C37" s="941" t="s">
        <v>223</v>
      </c>
      <c r="D37" s="942">
        <f t="shared" ref="D37:M37" si="2">SUM(D33:D36)</f>
        <v>0</v>
      </c>
      <c r="E37" s="943">
        <f t="shared" si="2"/>
        <v>0</v>
      </c>
      <c r="F37" s="943">
        <f t="shared" si="2"/>
        <v>0</v>
      </c>
      <c r="G37" s="943">
        <f t="shared" si="2"/>
        <v>0</v>
      </c>
      <c r="H37" s="944">
        <f t="shared" si="2"/>
        <v>0</v>
      </c>
      <c r="I37" s="945">
        <f t="shared" si="2"/>
        <v>0</v>
      </c>
      <c r="J37" s="943">
        <f t="shared" si="2"/>
        <v>0</v>
      </c>
      <c r="K37" s="943">
        <f t="shared" si="2"/>
        <v>0</v>
      </c>
      <c r="L37" s="943">
        <f t="shared" si="2"/>
        <v>0</v>
      </c>
      <c r="M37" s="944">
        <f t="shared" si="2"/>
        <v>0</v>
      </c>
    </row>
    <row r="38" spans="2:13" s="897" customFormat="1" ht="15.75" customHeight="1"/>
    <row r="39" spans="2:13" s="897" customFormat="1" ht="15.75" customHeight="1" thickBot="1">
      <c r="B39" s="937" t="s">
        <v>507</v>
      </c>
      <c r="C39" s="898"/>
      <c r="D39" s="898"/>
      <c r="E39" s="898"/>
      <c r="F39" s="898"/>
      <c r="G39" s="898"/>
      <c r="H39" s="898"/>
      <c r="I39" s="898"/>
      <c r="J39" s="898"/>
      <c r="K39" s="898"/>
    </row>
    <row r="40" spans="2:13" s="897" customFormat="1" ht="15.75" customHeight="1">
      <c r="B40" s="1949"/>
      <c r="C40" s="1950"/>
      <c r="D40" s="900" t="s">
        <v>211</v>
      </c>
      <c r="E40" s="900"/>
      <c r="F40" s="900"/>
      <c r="G40" s="900"/>
      <c r="H40" s="901"/>
      <c r="I40" s="899" t="s">
        <v>212</v>
      </c>
      <c r="J40" s="902"/>
      <c r="K40" s="902"/>
      <c r="L40" s="902"/>
      <c r="M40" s="901"/>
    </row>
    <row r="41" spans="2:13" s="897" customFormat="1" ht="15.75" customHeight="1">
      <c r="B41" s="1951"/>
      <c r="C41" s="1952"/>
      <c r="D41" s="938" t="s">
        <v>99</v>
      </c>
      <c r="E41" s="904" t="s">
        <v>100</v>
      </c>
      <c r="F41" s="904" t="s">
        <v>101</v>
      </c>
      <c r="G41" s="904" t="s">
        <v>102</v>
      </c>
      <c r="H41" s="905" t="s">
        <v>64</v>
      </c>
      <c r="I41" s="903" t="s">
        <v>213</v>
      </c>
      <c r="J41" s="904" t="s">
        <v>214</v>
      </c>
      <c r="K41" s="904" t="s">
        <v>215</v>
      </c>
      <c r="L41" s="904" t="s">
        <v>216</v>
      </c>
      <c r="M41" s="905" t="s">
        <v>217</v>
      </c>
    </row>
    <row r="42" spans="2:13" s="897" customFormat="1" ht="15.75" customHeight="1">
      <c r="B42" s="911" t="s">
        <v>438</v>
      </c>
      <c r="C42" s="907" t="s">
        <v>223</v>
      </c>
      <c r="D42" s="946"/>
      <c r="E42" s="947"/>
      <c r="F42" s="916"/>
      <c r="G42" s="916"/>
      <c r="H42" s="917"/>
      <c r="I42" s="918"/>
      <c r="J42" s="919"/>
      <c r="K42" s="919"/>
      <c r="L42" s="919"/>
      <c r="M42" s="920"/>
    </row>
    <row r="43" spans="2:13" s="897" customFormat="1" ht="15.75" customHeight="1">
      <c r="B43" s="911" t="s">
        <v>245</v>
      </c>
      <c r="C43" s="907" t="s">
        <v>223</v>
      </c>
      <c r="D43" s="946"/>
      <c r="E43" s="947"/>
      <c r="F43" s="916"/>
      <c r="G43" s="916"/>
      <c r="H43" s="917"/>
      <c r="I43" s="918"/>
      <c r="J43" s="919"/>
      <c r="K43" s="919"/>
      <c r="L43" s="919"/>
      <c r="M43" s="920"/>
    </row>
    <row r="44" spans="2:13" s="897" customFormat="1" ht="15.75" customHeight="1">
      <c r="B44" s="911" t="s">
        <v>427</v>
      </c>
      <c r="C44" s="907" t="s">
        <v>223</v>
      </c>
      <c r="D44" s="946"/>
      <c r="E44" s="947"/>
      <c r="F44" s="916"/>
      <c r="G44" s="916"/>
      <c r="H44" s="917"/>
      <c r="I44" s="918"/>
      <c r="J44" s="919"/>
      <c r="K44" s="919"/>
      <c r="L44" s="919"/>
      <c r="M44" s="920"/>
    </row>
    <row r="45" spans="2:13" s="897" customFormat="1" ht="15.75" customHeight="1">
      <c r="B45" s="911" t="s">
        <v>506</v>
      </c>
      <c r="C45" s="939" t="s">
        <v>223</v>
      </c>
      <c r="D45" s="946"/>
      <c r="E45" s="947"/>
      <c r="F45" s="916"/>
      <c r="G45" s="916"/>
      <c r="H45" s="917"/>
      <c r="I45" s="918"/>
      <c r="J45" s="919"/>
      <c r="K45" s="919"/>
      <c r="L45" s="919"/>
      <c r="M45" s="920"/>
    </row>
    <row r="46" spans="2:13" s="897" customFormat="1" ht="15.75" customHeight="1" thickBot="1">
      <c r="B46" s="940" t="s">
        <v>220</v>
      </c>
      <c r="C46" s="941" t="s">
        <v>223</v>
      </c>
      <c r="D46" s="942">
        <f t="shared" ref="D46:M46" si="3">SUM(D42:D45)</f>
        <v>0</v>
      </c>
      <c r="E46" s="943">
        <f t="shared" si="3"/>
        <v>0</v>
      </c>
      <c r="F46" s="943">
        <f t="shared" si="3"/>
        <v>0</v>
      </c>
      <c r="G46" s="943">
        <f t="shared" si="3"/>
        <v>0</v>
      </c>
      <c r="H46" s="944">
        <f t="shared" si="3"/>
        <v>0</v>
      </c>
      <c r="I46" s="945">
        <f t="shared" si="3"/>
        <v>0</v>
      </c>
      <c r="J46" s="943">
        <f t="shared" si="3"/>
        <v>0</v>
      </c>
      <c r="K46" s="943">
        <f t="shared" si="3"/>
        <v>0</v>
      </c>
      <c r="L46" s="943">
        <f t="shared" si="3"/>
        <v>0</v>
      </c>
      <c r="M46" s="944">
        <f t="shared" si="3"/>
        <v>0</v>
      </c>
    </row>
    <row r="47" spans="2:13" s="897" customFormat="1" ht="15.75" customHeight="1"/>
    <row r="48" spans="2:13" s="897" customFormat="1" ht="15.75" customHeight="1">
      <c r="B48" s="898" t="s">
        <v>508</v>
      </c>
      <c r="C48" s="898"/>
      <c r="D48" s="898"/>
      <c r="E48" s="898"/>
      <c r="F48" s="898"/>
      <c r="G48" s="898"/>
      <c r="H48" s="898"/>
      <c r="I48" s="898"/>
      <c r="J48" s="898"/>
      <c r="K48" s="898"/>
      <c r="L48" s="898"/>
    </row>
    <row r="49" spans="2:24" s="897" customFormat="1" ht="15.75" customHeight="1" thickBot="1">
      <c r="B49" s="937"/>
      <c r="C49" s="898"/>
      <c r="D49" s="898"/>
      <c r="E49" s="898"/>
      <c r="F49" s="898"/>
      <c r="G49" s="898"/>
      <c r="H49" s="898"/>
      <c r="I49" s="898"/>
      <c r="J49" s="898"/>
      <c r="K49" s="898"/>
      <c r="L49" s="898"/>
    </row>
    <row r="50" spans="2:24" s="897" customFormat="1" ht="15.75" customHeight="1">
      <c r="B50" s="948"/>
      <c r="C50" s="949" t="s">
        <v>509</v>
      </c>
      <c r="D50" s="950" t="s">
        <v>510</v>
      </c>
      <c r="E50" s="950" t="s">
        <v>511</v>
      </c>
      <c r="F50" s="950" t="s">
        <v>512</v>
      </c>
      <c r="G50" s="950" t="s">
        <v>513</v>
      </c>
      <c r="H50" s="951" t="s">
        <v>514</v>
      </c>
      <c r="I50" s="898"/>
    </row>
    <row r="51" spans="2:24" s="897" customFormat="1" ht="15.75" customHeight="1">
      <c r="B51" s="952" t="s">
        <v>438</v>
      </c>
      <c r="C51" s="953"/>
      <c r="D51" s="954"/>
      <c r="E51" s="955"/>
      <c r="F51" s="954"/>
      <c r="G51" s="954"/>
      <c r="H51" s="956"/>
      <c r="I51" s="898"/>
    </row>
    <row r="52" spans="2:24" s="897" customFormat="1" ht="15.75" customHeight="1">
      <c r="B52" s="952" t="s">
        <v>245</v>
      </c>
      <c r="C52" s="953"/>
      <c r="D52" s="954"/>
      <c r="E52" s="955"/>
      <c r="F52" s="954"/>
      <c r="G52" s="954"/>
      <c r="H52" s="956"/>
      <c r="I52" s="898"/>
    </row>
    <row r="53" spans="2:24" s="897" customFormat="1" ht="15.75" customHeight="1">
      <c r="B53" s="952" t="s">
        <v>427</v>
      </c>
      <c r="C53" s="953"/>
      <c r="D53" s="954"/>
      <c r="E53" s="955"/>
      <c r="F53" s="954"/>
      <c r="G53" s="954"/>
      <c r="H53" s="956"/>
      <c r="I53" s="898"/>
    </row>
    <row r="54" spans="2:24" s="897" customFormat="1" ht="15.75" customHeight="1">
      <c r="B54" s="952" t="s">
        <v>506</v>
      </c>
      <c r="C54" s="953"/>
      <c r="D54" s="954"/>
      <c r="E54" s="955"/>
      <c r="F54" s="954"/>
      <c r="G54" s="954"/>
      <c r="H54" s="956"/>
      <c r="I54" s="898"/>
    </row>
    <row r="55" spans="2:24" s="897" customFormat="1" ht="15.75" customHeight="1" thickBot="1">
      <c r="B55" s="957" t="s">
        <v>220</v>
      </c>
      <c r="C55" s="958">
        <f t="shared" ref="C55:H55" si="4">SUM(C51:C54)</f>
        <v>0</v>
      </c>
      <c r="D55" s="959">
        <f t="shared" si="4"/>
        <v>0</v>
      </c>
      <c r="E55" s="959">
        <f t="shared" si="4"/>
        <v>0</v>
      </c>
      <c r="F55" s="959">
        <f t="shared" si="4"/>
        <v>0</v>
      </c>
      <c r="G55" s="959">
        <f t="shared" si="4"/>
        <v>0</v>
      </c>
      <c r="H55" s="960">
        <f t="shared" si="4"/>
        <v>0</v>
      </c>
      <c r="I55" s="898"/>
    </row>
    <row r="56" spans="2:24" s="897" customFormat="1" ht="15.75" customHeight="1">
      <c r="B56" s="898"/>
      <c r="C56" s="898"/>
      <c r="D56" s="898"/>
      <c r="E56" s="898"/>
      <c r="F56" s="898"/>
      <c r="G56" s="898"/>
      <c r="H56" s="898"/>
      <c r="I56" s="898"/>
    </row>
    <row r="57" spans="2:24" s="897" customFormat="1" ht="15.75" customHeight="1" thickBot="1"/>
    <row r="58" spans="2:24" s="897" customFormat="1" ht="15.75" customHeight="1">
      <c r="B58" s="1953" t="s">
        <v>515</v>
      </c>
      <c r="C58" s="1954"/>
      <c r="D58" s="1954"/>
      <c r="E58" s="1954"/>
      <c r="F58" s="1954"/>
      <c r="G58" s="1954"/>
      <c r="H58" s="1955"/>
      <c r="I58" s="961"/>
      <c r="J58" s="1956" t="s">
        <v>516</v>
      </c>
      <c r="K58" s="1957"/>
      <c r="L58" s="1957"/>
      <c r="M58" s="1957"/>
      <c r="N58" s="1957"/>
      <c r="O58" s="1957"/>
      <c r="P58" s="1958"/>
      <c r="R58" s="1953" t="s">
        <v>212</v>
      </c>
      <c r="S58" s="1959"/>
      <c r="T58" s="1959"/>
      <c r="U58" s="1959"/>
      <c r="V58" s="1959"/>
      <c r="W58" s="1959"/>
      <c r="X58" s="1960"/>
    </row>
    <row r="59" spans="2:24" s="897" customFormat="1" ht="15.75" customHeight="1">
      <c r="B59" s="1961"/>
      <c r="C59" s="962" t="s">
        <v>517</v>
      </c>
      <c r="D59" s="1963" t="s">
        <v>518</v>
      </c>
      <c r="E59" s="1964"/>
      <c r="F59" s="1964"/>
      <c r="G59" s="1964"/>
      <c r="H59" s="1965"/>
      <c r="J59" s="963"/>
      <c r="K59" s="962" t="s">
        <v>517</v>
      </c>
      <c r="L59" s="1963" t="s">
        <v>519</v>
      </c>
      <c r="M59" s="1964"/>
      <c r="N59" s="1964"/>
      <c r="O59" s="1964"/>
      <c r="P59" s="1965"/>
      <c r="R59" s="1961"/>
      <c r="S59" s="1966" t="s">
        <v>517</v>
      </c>
      <c r="T59" s="1946" t="s">
        <v>519</v>
      </c>
      <c r="U59" s="1947"/>
      <c r="V59" s="1947"/>
      <c r="W59" s="1947"/>
      <c r="X59" s="1948"/>
    </row>
    <row r="60" spans="2:24" s="897" customFormat="1" ht="48.75" customHeight="1">
      <c r="B60" s="1962"/>
      <c r="C60" s="964"/>
      <c r="D60" s="965" t="s">
        <v>520</v>
      </c>
      <c r="E60" s="965" t="s">
        <v>521</v>
      </c>
      <c r="F60" s="965" t="s">
        <v>522</v>
      </c>
      <c r="G60" s="966" t="s">
        <v>523</v>
      </c>
      <c r="H60" s="967" t="s">
        <v>524</v>
      </c>
      <c r="I60" s="968"/>
      <c r="J60" s="969"/>
      <c r="K60" s="970"/>
      <c r="L60" s="966" t="s">
        <v>520</v>
      </c>
      <c r="M60" s="966" t="s">
        <v>521</v>
      </c>
      <c r="N60" s="966" t="s">
        <v>522</v>
      </c>
      <c r="O60" s="966" t="s">
        <v>523</v>
      </c>
      <c r="P60" s="967" t="s">
        <v>524</v>
      </c>
      <c r="R60" s="1962"/>
      <c r="S60" s="1967"/>
      <c r="T60" s="966" t="s">
        <v>520</v>
      </c>
      <c r="U60" s="966" t="s">
        <v>521</v>
      </c>
      <c r="V60" s="966" t="s">
        <v>522</v>
      </c>
      <c r="W60" s="966" t="s">
        <v>523</v>
      </c>
      <c r="X60" s="967" t="s">
        <v>524</v>
      </c>
    </row>
    <row r="61" spans="2:24" s="897" customFormat="1" ht="15.75" customHeight="1">
      <c r="B61" s="952" t="s">
        <v>438</v>
      </c>
      <c r="C61" s="953">
        <f>SUM(D61:H61)</f>
        <v>0</v>
      </c>
      <c r="D61" s="971"/>
      <c r="E61" s="971"/>
      <c r="F61" s="971"/>
      <c r="G61" s="955"/>
      <c r="H61" s="972"/>
      <c r="I61" s="968"/>
      <c r="J61" s="973" t="s">
        <v>438</v>
      </c>
      <c r="K61" s="974">
        <f>SUM(L61:P61)</f>
        <v>0</v>
      </c>
      <c r="L61" s="975"/>
      <c r="M61" s="975"/>
      <c r="N61" s="975"/>
      <c r="O61" s="976"/>
      <c r="P61" s="977"/>
      <c r="R61" s="973" t="s">
        <v>438</v>
      </c>
      <c r="S61" s="974">
        <f>SUM(T61:X61)</f>
        <v>0</v>
      </c>
      <c r="T61" s="975"/>
      <c r="U61" s="975"/>
      <c r="V61" s="975"/>
      <c r="W61" s="976"/>
      <c r="X61" s="977"/>
    </row>
    <row r="62" spans="2:24" s="897" customFormat="1" ht="15.75" customHeight="1">
      <c r="B62" s="952" t="s">
        <v>245</v>
      </c>
      <c r="C62" s="974">
        <f>SUM(D62:H62)</f>
        <v>0</v>
      </c>
      <c r="D62" s="971"/>
      <c r="E62" s="971"/>
      <c r="F62" s="971"/>
      <c r="G62" s="955"/>
      <c r="H62" s="972"/>
      <c r="I62" s="968"/>
      <c r="J62" s="952" t="s">
        <v>245</v>
      </c>
      <c r="K62" s="974">
        <f>SUM(L62:P62)</f>
        <v>0</v>
      </c>
      <c r="L62" s="971"/>
      <c r="M62" s="971"/>
      <c r="N62" s="971"/>
      <c r="O62" s="955"/>
      <c r="P62" s="972"/>
      <c r="R62" s="952" t="s">
        <v>245</v>
      </c>
      <c r="S62" s="974">
        <f>SUM(T62:X62)</f>
        <v>0</v>
      </c>
      <c r="T62" s="971"/>
      <c r="U62" s="971"/>
      <c r="V62" s="971"/>
      <c r="W62" s="955"/>
      <c r="X62" s="972"/>
    </row>
    <row r="63" spans="2:24" s="897" customFormat="1" ht="15.75" customHeight="1">
      <c r="B63" s="952" t="s">
        <v>427</v>
      </c>
      <c r="C63" s="974">
        <f>SUM(D63:H63)</f>
        <v>0</v>
      </c>
      <c r="D63" s="971"/>
      <c r="E63" s="971"/>
      <c r="F63" s="971"/>
      <c r="G63" s="955"/>
      <c r="H63" s="972"/>
      <c r="I63" s="968"/>
      <c r="J63" s="952" t="s">
        <v>427</v>
      </c>
      <c r="K63" s="974">
        <f>SUM(L63:P63)</f>
        <v>0</v>
      </c>
      <c r="L63" s="971"/>
      <c r="M63" s="971"/>
      <c r="N63" s="971"/>
      <c r="O63" s="955"/>
      <c r="P63" s="972"/>
      <c r="R63" s="952" t="s">
        <v>427</v>
      </c>
      <c r="S63" s="974">
        <f>SUM(T63:X63)</f>
        <v>0</v>
      </c>
      <c r="T63" s="971"/>
      <c r="U63" s="971"/>
      <c r="V63" s="971"/>
      <c r="W63" s="955"/>
      <c r="X63" s="972"/>
    </row>
    <row r="64" spans="2:24" s="897" customFormat="1" ht="15.75" customHeight="1">
      <c r="B64" s="952" t="s">
        <v>506</v>
      </c>
      <c r="C64" s="974">
        <f>SUM(D64:H64)</f>
        <v>0</v>
      </c>
      <c r="D64" s="971"/>
      <c r="E64" s="971"/>
      <c r="F64" s="971"/>
      <c r="G64" s="955"/>
      <c r="H64" s="972"/>
      <c r="I64" s="968"/>
      <c r="J64" s="952" t="s">
        <v>506</v>
      </c>
      <c r="K64" s="974">
        <f>SUM(L64:P64)</f>
        <v>0</v>
      </c>
      <c r="L64" s="971"/>
      <c r="M64" s="971"/>
      <c r="N64" s="971"/>
      <c r="O64" s="955"/>
      <c r="P64" s="972"/>
      <c r="R64" s="952" t="s">
        <v>506</v>
      </c>
      <c r="S64" s="974">
        <f>SUM(T64:X64)</f>
        <v>0</v>
      </c>
      <c r="T64" s="971"/>
      <c r="U64" s="971"/>
      <c r="V64" s="971"/>
      <c r="W64" s="955"/>
      <c r="X64" s="972"/>
    </row>
    <row r="65" spans="2:24" s="897" customFormat="1" ht="15.75" customHeight="1" thickBot="1">
      <c r="B65" s="957" t="s">
        <v>220</v>
      </c>
      <c r="C65" s="958">
        <f t="shared" ref="C65:H65" si="5">SUM(C61:C64)</f>
        <v>0</v>
      </c>
      <c r="D65" s="959">
        <f t="shared" si="5"/>
        <v>0</v>
      </c>
      <c r="E65" s="959">
        <f t="shared" si="5"/>
        <v>0</v>
      </c>
      <c r="F65" s="959">
        <f t="shared" si="5"/>
        <v>0</v>
      </c>
      <c r="G65" s="959">
        <f t="shared" si="5"/>
        <v>0</v>
      </c>
      <c r="H65" s="960">
        <f t="shared" si="5"/>
        <v>0</v>
      </c>
      <c r="I65" s="968"/>
      <c r="J65" s="957" t="s">
        <v>220</v>
      </c>
      <c r="K65" s="958">
        <f t="shared" ref="K65:P65" si="6">SUM(K61:K64)</f>
        <v>0</v>
      </c>
      <c r="L65" s="959">
        <f t="shared" si="6"/>
        <v>0</v>
      </c>
      <c r="M65" s="959">
        <f t="shared" si="6"/>
        <v>0</v>
      </c>
      <c r="N65" s="959">
        <f t="shared" si="6"/>
        <v>0</v>
      </c>
      <c r="O65" s="959">
        <f t="shared" si="6"/>
        <v>0</v>
      </c>
      <c r="P65" s="960">
        <f t="shared" si="6"/>
        <v>0</v>
      </c>
      <c r="R65" s="957" t="s">
        <v>220</v>
      </c>
      <c r="S65" s="958">
        <f t="shared" ref="S65:X65" si="7">SUM(S61:S64)</f>
        <v>0</v>
      </c>
      <c r="T65" s="959">
        <f t="shared" si="7"/>
        <v>0</v>
      </c>
      <c r="U65" s="959">
        <f t="shared" si="7"/>
        <v>0</v>
      </c>
      <c r="V65" s="959">
        <f t="shared" si="7"/>
        <v>0</v>
      </c>
      <c r="W65" s="959">
        <f t="shared" si="7"/>
        <v>0</v>
      </c>
      <c r="X65" s="960">
        <f t="shared" si="7"/>
        <v>0</v>
      </c>
    </row>
    <row r="66" spans="2:24" s="897" customFormat="1" ht="15.75" customHeight="1" thickBot="1">
      <c r="B66" s="978"/>
      <c r="C66" s="979"/>
      <c r="D66" s="979"/>
      <c r="E66" s="979"/>
      <c r="F66" s="979"/>
      <c r="G66" s="979"/>
      <c r="H66" s="979"/>
      <c r="I66" s="968"/>
      <c r="J66" s="978"/>
      <c r="K66" s="979"/>
      <c r="L66" s="979"/>
      <c r="M66" s="979"/>
      <c r="N66" s="979"/>
      <c r="O66" s="979"/>
      <c r="P66" s="979"/>
      <c r="R66" s="978"/>
      <c r="S66" s="979"/>
      <c r="T66" s="979"/>
      <c r="U66" s="979"/>
      <c r="V66" s="979"/>
      <c r="W66" s="979"/>
      <c r="X66" s="979"/>
    </row>
    <row r="67" spans="2:24" s="897" customFormat="1" ht="15.75" customHeight="1">
      <c r="B67" s="1953" t="s">
        <v>515</v>
      </c>
      <c r="C67" s="1959"/>
      <c r="D67" s="1959"/>
      <c r="E67" s="1959"/>
      <c r="F67" s="1959"/>
      <c r="G67" s="1959"/>
      <c r="H67" s="1960"/>
      <c r="I67" s="961"/>
      <c r="J67" s="1953" t="s">
        <v>516</v>
      </c>
      <c r="K67" s="1959"/>
      <c r="L67" s="1959"/>
      <c r="M67" s="1959"/>
      <c r="N67" s="1959"/>
      <c r="O67" s="1959"/>
      <c r="P67" s="1960"/>
      <c r="R67" s="1953" t="s">
        <v>212</v>
      </c>
      <c r="S67" s="1959"/>
      <c r="T67" s="1959"/>
      <c r="U67" s="1959"/>
      <c r="V67" s="1959"/>
      <c r="W67" s="1959"/>
      <c r="X67" s="1960"/>
    </row>
    <row r="68" spans="2:24" s="897" customFormat="1" ht="15.75" customHeight="1">
      <c r="B68" s="1961"/>
      <c r="C68" s="1968" t="s">
        <v>525</v>
      </c>
      <c r="D68" s="1946" t="s">
        <v>518</v>
      </c>
      <c r="E68" s="1947"/>
      <c r="F68" s="1947"/>
      <c r="G68" s="1947"/>
      <c r="H68" s="1948"/>
      <c r="J68" s="1961"/>
      <c r="K68" s="1966" t="s">
        <v>525</v>
      </c>
      <c r="L68" s="980" t="s">
        <v>519</v>
      </c>
      <c r="M68" s="981"/>
      <c r="N68" s="981"/>
      <c r="O68" s="981"/>
      <c r="P68" s="982"/>
      <c r="R68" s="1961"/>
      <c r="S68" s="1966" t="s">
        <v>525</v>
      </c>
      <c r="T68" s="1946" t="s">
        <v>519</v>
      </c>
      <c r="U68" s="1947"/>
      <c r="V68" s="1947"/>
      <c r="W68" s="1947"/>
      <c r="X68" s="1948"/>
    </row>
    <row r="69" spans="2:24" s="897" customFormat="1" ht="30" customHeight="1">
      <c r="B69" s="1962"/>
      <c r="C69" s="1969"/>
      <c r="D69" s="966" t="s">
        <v>520</v>
      </c>
      <c r="E69" s="966" t="s">
        <v>521</v>
      </c>
      <c r="F69" s="966" t="s">
        <v>522</v>
      </c>
      <c r="G69" s="966" t="s">
        <v>523</v>
      </c>
      <c r="H69" s="983" t="s">
        <v>524</v>
      </c>
      <c r="I69" s="968"/>
      <c r="J69" s="1962"/>
      <c r="K69" s="1967"/>
      <c r="L69" s="984" t="s">
        <v>520</v>
      </c>
      <c r="M69" s="984" t="s">
        <v>521</v>
      </c>
      <c r="N69" s="984" t="s">
        <v>522</v>
      </c>
      <c r="O69" s="984" t="s">
        <v>523</v>
      </c>
      <c r="P69" s="983" t="s">
        <v>524</v>
      </c>
      <c r="R69" s="1962"/>
      <c r="S69" s="1967"/>
      <c r="T69" s="966" t="s">
        <v>520</v>
      </c>
      <c r="U69" s="966" t="s">
        <v>521</v>
      </c>
      <c r="V69" s="966" t="s">
        <v>522</v>
      </c>
      <c r="W69" s="966" t="s">
        <v>523</v>
      </c>
      <c r="X69" s="983" t="s">
        <v>524</v>
      </c>
    </row>
    <row r="70" spans="2:24" s="897" customFormat="1" ht="15.75" customHeight="1">
      <c r="B70" s="985" t="s">
        <v>438</v>
      </c>
      <c r="C70" s="975"/>
      <c r="D70" s="975"/>
      <c r="E70" s="975"/>
      <c r="F70" s="975"/>
      <c r="G70" s="976"/>
      <c r="H70" s="986"/>
      <c r="I70" s="968"/>
      <c r="J70" s="973" t="s">
        <v>438</v>
      </c>
      <c r="K70" s="987"/>
      <c r="L70" s="975"/>
      <c r="M70" s="975"/>
      <c r="N70" s="975"/>
      <c r="O70" s="976"/>
      <c r="P70" s="988"/>
      <c r="R70" s="973" t="s">
        <v>438</v>
      </c>
      <c r="S70" s="987"/>
      <c r="T70" s="975"/>
      <c r="U70" s="975"/>
      <c r="V70" s="975"/>
      <c r="W70" s="976"/>
      <c r="X70" s="988"/>
    </row>
    <row r="71" spans="2:24" s="897" customFormat="1" ht="15.75" customHeight="1">
      <c r="B71" s="989" t="s">
        <v>245</v>
      </c>
      <c r="C71" s="971"/>
      <c r="D71" s="971"/>
      <c r="E71" s="971"/>
      <c r="F71" s="971"/>
      <c r="G71" s="955"/>
      <c r="H71" s="990"/>
      <c r="I71" s="968"/>
      <c r="J71" s="952" t="s">
        <v>245</v>
      </c>
      <c r="K71" s="991"/>
      <c r="L71" s="971"/>
      <c r="M71" s="971"/>
      <c r="N71" s="971"/>
      <c r="O71" s="955"/>
      <c r="P71" s="992"/>
      <c r="R71" s="952" t="s">
        <v>245</v>
      </c>
      <c r="S71" s="991"/>
      <c r="T71" s="971"/>
      <c r="U71" s="971"/>
      <c r="V71" s="971"/>
      <c r="W71" s="955"/>
      <c r="X71" s="992"/>
    </row>
    <row r="72" spans="2:24" s="897" customFormat="1" ht="15.75" customHeight="1">
      <c r="B72" s="989" t="s">
        <v>427</v>
      </c>
      <c r="C72" s="971"/>
      <c r="D72" s="971"/>
      <c r="E72" s="971"/>
      <c r="F72" s="971"/>
      <c r="G72" s="955"/>
      <c r="H72" s="990"/>
      <c r="I72" s="968"/>
      <c r="J72" s="952" t="s">
        <v>427</v>
      </c>
      <c r="K72" s="991"/>
      <c r="L72" s="971"/>
      <c r="M72" s="971"/>
      <c r="N72" s="971"/>
      <c r="O72" s="955"/>
      <c r="P72" s="992"/>
      <c r="R72" s="952" t="s">
        <v>427</v>
      </c>
      <c r="S72" s="991"/>
      <c r="T72" s="971"/>
      <c r="U72" s="971"/>
      <c r="V72" s="971"/>
      <c r="W72" s="955"/>
      <c r="X72" s="992"/>
    </row>
    <row r="73" spans="2:24" s="897" customFormat="1" ht="15.75" customHeight="1">
      <c r="B73" s="989" t="s">
        <v>506</v>
      </c>
      <c r="C73" s="971"/>
      <c r="D73" s="971"/>
      <c r="E73" s="971"/>
      <c r="F73" s="971"/>
      <c r="G73" s="955"/>
      <c r="H73" s="990"/>
      <c r="I73" s="968"/>
      <c r="J73" s="952" t="s">
        <v>506</v>
      </c>
      <c r="K73" s="991"/>
      <c r="L73" s="971"/>
      <c r="M73" s="971"/>
      <c r="N73" s="971"/>
      <c r="O73" s="955"/>
      <c r="P73" s="992"/>
      <c r="R73" s="952" t="s">
        <v>506</v>
      </c>
      <c r="S73" s="991"/>
      <c r="T73" s="971"/>
      <c r="U73" s="971"/>
      <c r="V73" s="971"/>
      <c r="W73" s="955"/>
      <c r="X73" s="992"/>
    </row>
    <row r="74" spans="2:24" s="897" customFormat="1" ht="15.75" customHeight="1" thickBot="1">
      <c r="B74" s="993" t="s">
        <v>220</v>
      </c>
      <c r="C74" s="994">
        <f t="shared" ref="C74:H74" si="8">SUM(C70:C73)</f>
        <v>0</v>
      </c>
      <c r="D74" s="959">
        <f t="shared" si="8"/>
        <v>0</v>
      </c>
      <c r="E74" s="959">
        <f t="shared" si="8"/>
        <v>0</v>
      </c>
      <c r="F74" s="959">
        <f t="shared" si="8"/>
        <v>0</v>
      </c>
      <c r="G74" s="959">
        <f t="shared" si="8"/>
        <v>0</v>
      </c>
      <c r="H74" s="995">
        <f t="shared" si="8"/>
        <v>0</v>
      </c>
      <c r="I74" s="968"/>
      <c r="J74" s="957" t="s">
        <v>220</v>
      </c>
      <c r="K74" s="958">
        <f t="shared" ref="K74:P74" si="9">SUM(K70:K73)</f>
        <v>0</v>
      </c>
      <c r="L74" s="959">
        <f t="shared" si="9"/>
        <v>0</v>
      </c>
      <c r="M74" s="959">
        <f t="shared" si="9"/>
        <v>0</v>
      </c>
      <c r="N74" s="959">
        <f t="shared" si="9"/>
        <v>0</v>
      </c>
      <c r="O74" s="959">
        <f t="shared" si="9"/>
        <v>0</v>
      </c>
      <c r="P74" s="995">
        <f t="shared" si="9"/>
        <v>0</v>
      </c>
      <c r="R74" s="957" t="s">
        <v>220</v>
      </c>
      <c r="S74" s="958">
        <f t="shared" ref="S74:X74" si="10">SUM(S70:S73)</f>
        <v>0</v>
      </c>
      <c r="T74" s="959">
        <f t="shared" si="10"/>
        <v>0</v>
      </c>
      <c r="U74" s="959">
        <f t="shared" si="10"/>
        <v>0</v>
      </c>
      <c r="V74" s="959">
        <f t="shared" si="10"/>
        <v>0</v>
      </c>
      <c r="W74" s="959">
        <f t="shared" si="10"/>
        <v>0</v>
      </c>
      <c r="X74" s="995">
        <f t="shared" si="10"/>
        <v>0</v>
      </c>
    </row>
    <row r="75" spans="2:24" s="897" customFormat="1" ht="15.75" customHeight="1" thickBot="1">
      <c r="B75" s="978"/>
      <c r="C75" s="979"/>
      <c r="D75" s="979"/>
      <c r="E75" s="979"/>
      <c r="F75" s="979"/>
      <c r="G75" s="979"/>
      <c r="H75" s="979"/>
      <c r="I75" s="968"/>
      <c r="J75" s="996"/>
      <c r="K75" s="997"/>
      <c r="L75" s="997"/>
      <c r="M75" s="997"/>
      <c r="N75" s="997"/>
      <c r="O75" s="997"/>
      <c r="P75" s="997"/>
      <c r="R75" s="978"/>
      <c r="S75" s="979"/>
      <c r="T75" s="979"/>
      <c r="U75" s="979"/>
      <c r="V75" s="979"/>
      <c r="W75" s="979"/>
      <c r="X75" s="979"/>
    </row>
    <row r="76" spans="2:24" s="897" customFormat="1" ht="15.75" customHeight="1">
      <c r="B76" s="1953" t="s">
        <v>515</v>
      </c>
      <c r="C76" s="1959"/>
      <c r="D76" s="1959"/>
      <c r="E76" s="1959"/>
      <c r="F76" s="1959"/>
      <c r="G76" s="1959"/>
      <c r="H76" s="1960"/>
      <c r="J76" s="1953" t="s">
        <v>516</v>
      </c>
      <c r="K76" s="1959"/>
      <c r="L76" s="1959"/>
      <c r="M76" s="1959"/>
      <c r="N76" s="1959"/>
      <c r="O76" s="1959"/>
      <c r="P76" s="1960"/>
      <c r="R76" s="1953" t="s">
        <v>212</v>
      </c>
      <c r="S76" s="1959"/>
      <c r="T76" s="1959"/>
      <c r="U76" s="1959"/>
      <c r="V76" s="1959"/>
      <c r="W76" s="1959"/>
      <c r="X76" s="1960"/>
    </row>
    <row r="77" spans="2:24" s="897" customFormat="1" ht="15.75" customHeight="1">
      <c r="B77" s="1961"/>
      <c r="C77" s="1966" t="s">
        <v>526</v>
      </c>
      <c r="D77" s="1946" t="s">
        <v>527</v>
      </c>
      <c r="E77" s="1947"/>
      <c r="F77" s="1947"/>
      <c r="G77" s="1947"/>
      <c r="H77" s="1948"/>
      <c r="J77" s="1961"/>
      <c r="K77" s="1971" t="s">
        <v>526</v>
      </c>
      <c r="L77" s="980" t="s">
        <v>528</v>
      </c>
      <c r="M77" s="981"/>
      <c r="N77" s="981"/>
      <c r="O77" s="981"/>
      <c r="P77" s="982"/>
      <c r="R77" s="1961"/>
      <c r="S77" s="1971" t="s">
        <v>526</v>
      </c>
      <c r="T77" s="1946" t="s">
        <v>528</v>
      </c>
      <c r="U77" s="1947"/>
      <c r="V77" s="1947"/>
      <c r="W77" s="1947"/>
      <c r="X77" s="1948"/>
    </row>
    <row r="78" spans="2:24" s="897" customFormat="1" ht="30" customHeight="1">
      <c r="B78" s="1962"/>
      <c r="C78" s="1970"/>
      <c r="D78" s="966" t="s">
        <v>520</v>
      </c>
      <c r="E78" s="966" t="s">
        <v>521</v>
      </c>
      <c r="F78" s="966" t="s">
        <v>522</v>
      </c>
      <c r="G78" s="966" t="s">
        <v>523</v>
      </c>
      <c r="H78" s="983" t="s">
        <v>524</v>
      </c>
      <c r="J78" s="1962"/>
      <c r="K78" s="1967"/>
      <c r="L78" s="984" t="s">
        <v>520</v>
      </c>
      <c r="M78" s="984" t="s">
        <v>521</v>
      </c>
      <c r="N78" s="984" t="s">
        <v>522</v>
      </c>
      <c r="O78" s="984" t="s">
        <v>523</v>
      </c>
      <c r="P78" s="983" t="s">
        <v>524</v>
      </c>
      <c r="R78" s="1962"/>
      <c r="S78" s="1967"/>
      <c r="T78" s="966" t="s">
        <v>520</v>
      </c>
      <c r="U78" s="966" t="s">
        <v>521</v>
      </c>
      <c r="V78" s="966" t="s">
        <v>522</v>
      </c>
      <c r="W78" s="966" t="s">
        <v>523</v>
      </c>
      <c r="X78" s="983" t="s">
        <v>524</v>
      </c>
    </row>
    <row r="79" spans="2:24" s="897" customFormat="1" ht="15.75" customHeight="1">
      <c r="B79" s="973" t="s">
        <v>438</v>
      </c>
      <c r="C79" s="998">
        <f>SUM(D33:F33)</f>
        <v>0</v>
      </c>
      <c r="D79" s="999"/>
      <c r="E79" s="999"/>
      <c r="F79" s="999"/>
      <c r="G79" s="919"/>
      <c r="H79" s="1000"/>
      <c r="J79" s="973" t="s">
        <v>438</v>
      </c>
      <c r="K79" s="998">
        <f>SUM(G33:H33)</f>
        <v>0</v>
      </c>
      <c r="L79" s="999"/>
      <c r="M79" s="999"/>
      <c r="N79" s="999"/>
      <c r="O79" s="1001"/>
      <c r="P79" s="1002"/>
      <c r="R79" s="973" t="s">
        <v>438</v>
      </c>
      <c r="S79" s="998">
        <f>SUM(I33:M33)</f>
        <v>0</v>
      </c>
      <c r="T79" s="999"/>
      <c r="U79" s="999"/>
      <c r="V79" s="999"/>
      <c r="W79" s="1001"/>
      <c r="X79" s="1002"/>
    </row>
    <row r="80" spans="2:24" s="897" customFormat="1" ht="15.75" customHeight="1">
      <c r="B80" s="952" t="s">
        <v>245</v>
      </c>
      <c r="C80" s="998">
        <f>SUM(D34:F34)</f>
        <v>0</v>
      </c>
      <c r="D80" s="916"/>
      <c r="E80" s="916"/>
      <c r="F80" s="916"/>
      <c r="G80" s="919"/>
      <c r="H80" s="1000"/>
      <c r="J80" s="952" t="s">
        <v>245</v>
      </c>
      <c r="K80" s="998">
        <f>SUM(G34:H34)</f>
        <v>0</v>
      </c>
      <c r="L80" s="916"/>
      <c r="M80" s="916"/>
      <c r="N80" s="916"/>
      <c r="O80" s="919"/>
      <c r="P80" s="1000"/>
      <c r="R80" s="952" t="s">
        <v>245</v>
      </c>
      <c r="S80" s="998">
        <f>SUM(I34:M34)</f>
        <v>0</v>
      </c>
      <c r="T80" s="916"/>
      <c r="U80" s="916"/>
      <c r="V80" s="916"/>
      <c r="W80" s="919"/>
      <c r="X80" s="1000"/>
    </row>
    <row r="81" spans="2:24" s="897" customFormat="1" ht="15.75" customHeight="1">
      <c r="B81" s="952" t="s">
        <v>427</v>
      </c>
      <c r="C81" s="998">
        <f>SUM(D35:F35)</f>
        <v>0</v>
      </c>
      <c r="D81" s="916"/>
      <c r="E81" s="916"/>
      <c r="F81" s="916"/>
      <c r="G81" s="919"/>
      <c r="H81" s="1000"/>
      <c r="J81" s="952" t="s">
        <v>427</v>
      </c>
      <c r="K81" s="998">
        <f>SUM(G35:H35)</f>
        <v>0</v>
      </c>
      <c r="L81" s="916"/>
      <c r="M81" s="916"/>
      <c r="N81" s="916"/>
      <c r="O81" s="919"/>
      <c r="P81" s="1000"/>
      <c r="R81" s="952" t="s">
        <v>427</v>
      </c>
      <c r="S81" s="998">
        <f>SUM(I35:M35)</f>
        <v>0</v>
      </c>
      <c r="T81" s="916"/>
      <c r="U81" s="916"/>
      <c r="V81" s="916"/>
      <c r="W81" s="919"/>
      <c r="X81" s="1000"/>
    </row>
    <row r="82" spans="2:24" s="897" customFormat="1" ht="15.75" customHeight="1">
      <c r="B82" s="952" t="s">
        <v>506</v>
      </c>
      <c r="C82" s="998">
        <f>SUM(D36:F36)</f>
        <v>0</v>
      </c>
      <c r="D82" s="916"/>
      <c r="E82" s="916"/>
      <c r="F82" s="916"/>
      <c r="G82" s="919"/>
      <c r="H82" s="1000"/>
      <c r="J82" s="952" t="s">
        <v>506</v>
      </c>
      <c r="K82" s="998">
        <f>SUM(G36:H36)</f>
        <v>0</v>
      </c>
      <c r="L82" s="916"/>
      <c r="M82" s="916"/>
      <c r="N82" s="916"/>
      <c r="O82" s="919"/>
      <c r="P82" s="1000"/>
      <c r="R82" s="952" t="s">
        <v>506</v>
      </c>
      <c r="S82" s="998">
        <f>SUM(I36:M36)</f>
        <v>0</v>
      </c>
      <c r="T82" s="916"/>
      <c r="U82" s="916"/>
      <c r="V82" s="916"/>
      <c r="W82" s="919"/>
      <c r="X82" s="1000"/>
    </row>
    <row r="83" spans="2:24" s="897" customFormat="1" ht="15.75" customHeight="1" thickBot="1">
      <c r="B83" s="957" t="s">
        <v>220</v>
      </c>
      <c r="C83" s="1003">
        <f t="shared" ref="C83:H83" si="11">SUM(C79:C82)</f>
        <v>0</v>
      </c>
      <c r="D83" s="1004">
        <f t="shared" si="11"/>
        <v>0</v>
      </c>
      <c r="E83" s="1004">
        <f t="shared" si="11"/>
        <v>0</v>
      </c>
      <c r="F83" s="1004">
        <f t="shared" si="11"/>
        <v>0</v>
      </c>
      <c r="G83" s="1004">
        <f t="shared" si="11"/>
        <v>0</v>
      </c>
      <c r="H83" s="995">
        <f t="shared" si="11"/>
        <v>0</v>
      </c>
      <c r="J83" s="957" t="s">
        <v>220</v>
      </c>
      <c r="K83" s="1003">
        <f t="shared" ref="K83:P83" si="12">SUM(K79:K82)</f>
        <v>0</v>
      </c>
      <c r="L83" s="1004">
        <f t="shared" si="12"/>
        <v>0</v>
      </c>
      <c r="M83" s="1004">
        <f t="shared" si="12"/>
        <v>0</v>
      </c>
      <c r="N83" s="1004">
        <f t="shared" si="12"/>
        <v>0</v>
      </c>
      <c r="O83" s="1004">
        <f t="shared" si="12"/>
        <v>0</v>
      </c>
      <c r="P83" s="995">
        <f t="shared" si="12"/>
        <v>0</v>
      </c>
      <c r="R83" s="957" t="s">
        <v>220</v>
      </c>
      <c r="S83" s="1003">
        <f t="shared" ref="S83:X83" si="13">SUM(S79:S82)</f>
        <v>0</v>
      </c>
      <c r="T83" s="1004">
        <f t="shared" si="13"/>
        <v>0</v>
      </c>
      <c r="U83" s="1004">
        <f t="shared" si="13"/>
        <v>0</v>
      </c>
      <c r="V83" s="1004">
        <f t="shared" si="13"/>
        <v>0</v>
      </c>
      <c r="W83" s="1004">
        <f t="shared" si="13"/>
        <v>0</v>
      </c>
      <c r="X83" s="995">
        <f t="shared" si="13"/>
        <v>0</v>
      </c>
    </row>
    <row r="84" spans="2:24" s="897" customFormat="1" ht="15.75" customHeight="1" thickBot="1">
      <c r="J84" s="1005"/>
      <c r="K84" s="1005"/>
      <c r="L84" s="1005"/>
      <c r="M84" s="1005"/>
      <c r="N84" s="1005"/>
      <c r="O84" s="1005"/>
      <c r="P84" s="1005"/>
    </row>
    <row r="85" spans="2:24" s="897" customFormat="1" ht="15.75" customHeight="1">
      <c r="B85" s="1953" t="s">
        <v>515</v>
      </c>
      <c r="C85" s="1959"/>
      <c r="D85" s="1959"/>
      <c r="E85" s="1959"/>
      <c r="F85" s="1959"/>
      <c r="G85" s="1959"/>
      <c r="H85" s="1960"/>
      <c r="J85" s="1953" t="s">
        <v>516</v>
      </c>
      <c r="K85" s="1959"/>
      <c r="L85" s="1959"/>
      <c r="M85" s="1959"/>
      <c r="N85" s="1959"/>
      <c r="O85" s="1959"/>
      <c r="P85" s="1960"/>
      <c r="R85" s="1953" t="s">
        <v>212</v>
      </c>
      <c r="S85" s="1959"/>
      <c r="T85" s="1959"/>
      <c r="U85" s="1959"/>
      <c r="V85" s="1959"/>
      <c r="W85" s="1959"/>
      <c r="X85" s="1960"/>
    </row>
    <row r="86" spans="2:24" s="897" customFormat="1" ht="15.75" customHeight="1">
      <c r="B86" s="1961"/>
      <c r="C86" s="1971" t="s">
        <v>529</v>
      </c>
      <c r="D86" s="1946" t="s">
        <v>530</v>
      </c>
      <c r="E86" s="1947"/>
      <c r="F86" s="1947"/>
      <c r="G86" s="1947"/>
      <c r="H86" s="1948"/>
      <c r="J86" s="1961"/>
      <c r="K86" s="1971" t="s">
        <v>529</v>
      </c>
      <c r="L86" s="980" t="s">
        <v>531</v>
      </c>
      <c r="M86" s="981"/>
      <c r="N86" s="981"/>
      <c r="O86" s="981"/>
      <c r="P86" s="982"/>
      <c r="R86" s="1961"/>
      <c r="S86" s="1971" t="s">
        <v>529</v>
      </c>
      <c r="T86" s="1946" t="s">
        <v>531</v>
      </c>
      <c r="U86" s="1947"/>
      <c r="V86" s="1947"/>
      <c r="W86" s="1947"/>
      <c r="X86" s="1948"/>
    </row>
    <row r="87" spans="2:24" s="897" customFormat="1" ht="30" customHeight="1" thickBot="1">
      <c r="B87" s="1962"/>
      <c r="C87" s="1967"/>
      <c r="D87" s="966" t="s">
        <v>520</v>
      </c>
      <c r="E87" s="966" t="s">
        <v>521</v>
      </c>
      <c r="F87" s="966" t="s">
        <v>522</v>
      </c>
      <c r="G87" s="966" t="s">
        <v>523</v>
      </c>
      <c r="H87" s="1006" t="s">
        <v>524</v>
      </c>
      <c r="J87" s="1962"/>
      <c r="K87" s="1967"/>
      <c r="L87" s="984" t="s">
        <v>520</v>
      </c>
      <c r="M87" s="984" t="s">
        <v>521</v>
      </c>
      <c r="N87" s="984" t="s">
        <v>522</v>
      </c>
      <c r="O87" s="984" t="s">
        <v>523</v>
      </c>
      <c r="P87" s="983"/>
      <c r="R87" s="1962"/>
      <c r="S87" s="1967"/>
      <c r="T87" s="966" t="s">
        <v>520</v>
      </c>
      <c r="U87" s="966" t="s">
        <v>521</v>
      </c>
      <c r="V87" s="966" t="s">
        <v>522</v>
      </c>
      <c r="W87" s="966" t="s">
        <v>523</v>
      </c>
      <c r="X87" s="983"/>
    </row>
    <row r="88" spans="2:24" s="897" customFormat="1" ht="15.75" customHeight="1">
      <c r="B88" s="973" t="s">
        <v>438</v>
      </c>
      <c r="C88" s="998">
        <f t="shared" ref="C88:G91" si="14">IF(C70&gt;0,C79*1000/C70,0)</f>
        <v>0</v>
      </c>
      <c r="D88" s="1007">
        <f t="shared" si="14"/>
        <v>0</v>
      </c>
      <c r="E88" s="1007">
        <f t="shared" si="14"/>
        <v>0</v>
      </c>
      <c r="F88" s="1007">
        <f t="shared" si="14"/>
        <v>0</v>
      </c>
      <c r="G88" s="1007">
        <f t="shared" si="14"/>
        <v>0</v>
      </c>
      <c r="H88" s="1008"/>
      <c r="J88" s="973" t="s">
        <v>438</v>
      </c>
      <c r="K88" s="998">
        <f t="shared" ref="K88:O91" si="15">IF(K70&gt;0,K79*1000/K70,0)</f>
        <v>0</v>
      </c>
      <c r="L88" s="1007">
        <f t="shared" si="15"/>
        <v>0</v>
      </c>
      <c r="M88" s="1007">
        <f t="shared" si="15"/>
        <v>0</v>
      </c>
      <c r="N88" s="1007">
        <f t="shared" si="15"/>
        <v>0</v>
      </c>
      <c r="O88" s="1007">
        <f t="shared" si="15"/>
        <v>0</v>
      </c>
      <c r="P88" s="1002"/>
      <c r="R88" s="973" t="s">
        <v>438</v>
      </c>
      <c r="S88" s="998">
        <f t="shared" ref="S88:W91" si="16">IF(S70&gt;0,S79*1000/S70,0)</f>
        <v>0</v>
      </c>
      <c r="T88" s="1007">
        <f t="shared" si="16"/>
        <v>0</v>
      </c>
      <c r="U88" s="1007">
        <f t="shared" si="16"/>
        <v>0</v>
      </c>
      <c r="V88" s="1007">
        <f t="shared" si="16"/>
        <v>0</v>
      </c>
      <c r="W88" s="1007">
        <f t="shared" si="16"/>
        <v>0</v>
      </c>
      <c r="X88" s="1002"/>
    </row>
    <row r="89" spans="2:24" s="897" customFormat="1" ht="15.75" customHeight="1">
      <c r="B89" s="952" t="s">
        <v>245</v>
      </c>
      <c r="C89" s="1009">
        <f t="shared" si="14"/>
        <v>0</v>
      </c>
      <c r="D89" s="1010">
        <f t="shared" si="14"/>
        <v>0</v>
      </c>
      <c r="E89" s="1010">
        <f t="shared" si="14"/>
        <v>0</v>
      </c>
      <c r="F89" s="1010">
        <f t="shared" si="14"/>
        <v>0</v>
      </c>
      <c r="G89" s="1010">
        <f t="shared" si="14"/>
        <v>0</v>
      </c>
      <c r="H89" s="1000"/>
      <c r="J89" s="952" t="s">
        <v>245</v>
      </c>
      <c r="K89" s="1009">
        <f t="shared" si="15"/>
        <v>0</v>
      </c>
      <c r="L89" s="1010">
        <f t="shared" si="15"/>
        <v>0</v>
      </c>
      <c r="M89" s="1010">
        <f t="shared" si="15"/>
        <v>0</v>
      </c>
      <c r="N89" s="1010">
        <f t="shared" si="15"/>
        <v>0</v>
      </c>
      <c r="O89" s="1010">
        <f t="shared" si="15"/>
        <v>0</v>
      </c>
      <c r="P89" s="1000"/>
      <c r="R89" s="952" t="s">
        <v>245</v>
      </c>
      <c r="S89" s="1009">
        <f t="shared" si="16"/>
        <v>0</v>
      </c>
      <c r="T89" s="1010">
        <f t="shared" si="16"/>
        <v>0</v>
      </c>
      <c r="U89" s="1010">
        <f t="shared" si="16"/>
        <v>0</v>
      </c>
      <c r="V89" s="1010">
        <f t="shared" si="16"/>
        <v>0</v>
      </c>
      <c r="W89" s="1010">
        <f t="shared" si="16"/>
        <v>0</v>
      </c>
      <c r="X89" s="1000"/>
    </row>
    <row r="90" spans="2:24" s="897" customFormat="1" ht="15.75" customHeight="1">
      <c r="B90" s="952" t="s">
        <v>427</v>
      </c>
      <c r="C90" s="1009">
        <f t="shared" si="14"/>
        <v>0</v>
      </c>
      <c r="D90" s="1010">
        <f t="shared" si="14"/>
        <v>0</v>
      </c>
      <c r="E90" s="1010">
        <f t="shared" si="14"/>
        <v>0</v>
      </c>
      <c r="F90" s="1010">
        <f t="shared" si="14"/>
        <v>0</v>
      </c>
      <c r="G90" s="1010">
        <f t="shared" si="14"/>
        <v>0</v>
      </c>
      <c r="H90" s="1000"/>
      <c r="J90" s="952" t="s">
        <v>427</v>
      </c>
      <c r="K90" s="1009">
        <f t="shared" si="15"/>
        <v>0</v>
      </c>
      <c r="L90" s="1010">
        <f t="shared" si="15"/>
        <v>0</v>
      </c>
      <c r="M90" s="1010">
        <f t="shared" si="15"/>
        <v>0</v>
      </c>
      <c r="N90" s="1010">
        <f t="shared" si="15"/>
        <v>0</v>
      </c>
      <c r="O90" s="1010">
        <f t="shared" si="15"/>
        <v>0</v>
      </c>
      <c r="P90" s="1000"/>
      <c r="R90" s="952" t="s">
        <v>427</v>
      </c>
      <c r="S90" s="1009">
        <f t="shared" si="16"/>
        <v>0</v>
      </c>
      <c r="T90" s="1010">
        <f t="shared" si="16"/>
        <v>0</v>
      </c>
      <c r="U90" s="1010">
        <f t="shared" si="16"/>
        <v>0</v>
      </c>
      <c r="V90" s="1010">
        <f t="shared" si="16"/>
        <v>0</v>
      </c>
      <c r="W90" s="1010">
        <f t="shared" si="16"/>
        <v>0</v>
      </c>
      <c r="X90" s="1000"/>
    </row>
    <row r="91" spans="2:24" s="897" customFormat="1" ht="15.75" customHeight="1" thickBot="1">
      <c r="B91" s="1011" t="s">
        <v>506</v>
      </c>
      <c r="C91" s="1012">
        <f t="shared" si="14"/>
        <v>0</v>
      </c>
      <c r="D91" s="1013">
        <f t="shared" si="14"/>
        <v>0</v>
      </c>
      <c r="E91" s="1013">
        <f t="shared" si="14"/>
        <v>0</v>
      </c>
      <c r="F91" s="1013">
        <f t="shared" si="14"/>
        <v>0</v>
      </c>
      <c r="G91" s="1013">
        <f t="shared" si="14"/>
        <v>0</v>
      </c>
      <c r="H91" s="1014"/>
      <c r="J91" s="1011" t="s">
        <v>506</v>
      </c>
      <c r="K91" s="1012">
        <f t="shared" si="15"/>
        <v>0</v>
      </c>
      <c r="L91" s="1013">
        <f t="shared" si="15"/>
        <v>0</v>
      </c>
      <c r="M91" s="1013">
        <f t="shared" si="15"/>
        <v>0</v>
      </c>
      <c r="N91" s="1013">
        <f t="shared" si="15"/>
        <v>0</v>
      </c>
      <c r="O91" s="1013">
        <f t="shared" si="15"/>
        <v>0</v>
      </c>
      <c r="P91" s="1014"/>
      <c r="R91" s="1011" t="s">
        <v>506</v>
      </c>
      <c r="S91" s="1012">
        <f t="shared" si="16"/>
        <v>0</v>
      </c>
      <c r="T91" s="1013">
        <f t="shared" si="16"/>
        <v>0</v>
      </c>
      <c r="U91" s="1013">
        <f t="shared" si="16"/>
        <v>0</v>
      </c>
      <c r="V91" s="1013">
        <f t="shared" si="16"/>
        <v>0</v>
      </c>
      <c r="W91" s="1013">
        <f t="shared" si="16"/>
        <v>0</v>
      </c>
      <c r="X91" s="1014"/>
    </row>
    <row r="92" spans="2:24" s="897" customFormat="1" ht="15.75" customHeight="1"/>
    <row r="93" spans="2:24" s="897" customFormat="1" ht="15.75" customHeight="1"/>
    <row r="94" spans="2:24" s="897" customFormat="1" ht="15.75" customHeight="1">
      <c r="B94" s="898" t="s">
        <v>532</v>
      </c>
    </row>
    <row r="95" spans="2:24" s="897" customFormat="1" ht="15.75" customHeight="1" thickBot="1"/>
    <row r="96" spans="2:24" s="897" customFormat="1" ht="42" customHeight="1">
      <c r="B96" s="1015"/>
      <c r="C96" s="949" t="s">
        <v>509</v>
      </c>
      <c r="D96" s="950" t="s">
        <v>510</v>
      </c>
      <c r="E96" s="950" t="s">
        <v>511</v>
      </c>
      <c r="F96" s="950" t="s">
        <v>512</v>
      </c>
      <c r="G96" s="950" t="s">
        <v>513</v>
      </c>
      <c r="H96" s="951" t="s">
        <v>514</v>
      </c>
      <c r="I96" s="898"/>
    </row>
    <row r="97" spans="2:24" s="897" customFormat="1" ht="15.75" customHeight="1">
      <c r="B97" s="973" t="s">
        <v>438</v>
      </c>
      <c r="C97" s="974">
        <f>D97+E97</f>
        <v>0</v>
      </c>
      <c r="D97" s="1016">
        <f>C107</f>
        <v>0</v>
      </c>
      <c r="E97" s="976"/>
      <c r="F97" s="1016">
        <f>K107</f>
        <v>0</v>
      </c>
      <c r="G97" s="1016">
        <f>S107</f>
        <v>0</v>
      </c>
      <c r="H97" s="1017">
        <f>E97-SUM(F97:G97)</f>
        <v>0</v>
      </c>
      <c r="I97" s="898"/>
    </row>
    <row r="98" spans="2:24" s="897" customFormat="1" ht="15.75" customHeight="1">
      <c r="B98" s="952" t="s">
        <v>245</v>
      </c>
      <c r="C98" s="974">
        <f>D98+E98</f>
        <v>0</v>
      </c>
      <c r="D98" s="1016">
        <f>C108</f>
        <v>0</v>
      </c>
      <c r="E98" s="976"/>
      <c r="F98" s="1016">
        <f>K108</f>
        <v>0</v>
      </c>
      <c r="G98" s="1016">
        <f>S108</f>
        <v>0</v>
      </c>
      <c r="H98" s="1017">
        <f>E98-SUM(F98:G98)</f>
        <v>0</v>
      </c>
      <c r="I98" s="898"/>
    </row>
    <row r="99" spans="2:24" s="897" customFormat="1" ht="15.75" customHeight="1">
      <c r="B99" s="952" t="s">
        <v>427</v>
      </c>
      <c r="C99" s="974">
        <f>D99+E99</f>
        <v>0</v>
      </c>
      <c r="D99" s="1016">
        <f>C109</f>
        <v>0</v>
      </c>
      <c r="E99" s="976"/>
      <c r="F99" s="1016">
        <f>K109</f>
        <v>0</v>
      </c>
      <c r="G99" s="1016">
        <f>S109</f>
        <v>0</v>
      </c>
      <c r="H99" s="1017">
        <f>E99-SUM(F99:G99)</f>
        <v>0</v>
      </c>
      <c r="I99" s="898"/>
    </row>
    <row r="100" spans="2:24" s="897" customFormat="1" ht="15.75" customHeight="1">
      <c r="B100" s="952" t="s">
        <v>506</v>
      </c>
      <c r="C100" s="974">
        <f>D100+E100</f>
        <v>0</v>
      </c>
      <c r="D100" s="1016">
        <f>C110</f>
        <v>0</v>
      </c>
      <c r="E100" s="976"/>
      <c r="F100" s="1016">
        <f>K110</f>
        <v>0</v>
      </c>
      <c r="G100" s="1016">
        <f>S110</f>
        <v>0</v>
      </c>
      <c r="H100" s="1017">
        <f>E100-SUM(F100:G100)</f>
        <v>0</v>
      </c>
      <c r="I100" s="898"/>
    </row>
    <row r="101" spans="2:24" s="897" customFormat="1" ht="15.75" customHeight="1" thickBot="1">
      <c r="B101" s="957" t="s">
        <v>220</v>
      </c>
      <c r="C101" s="958">
        <f t="shared" ref="C101:H101" si="17">SUM(C97:C100)</f>
        <v>0</v>
      </c>
      <c r="D101" s="959">
        <f t="shared" si="17"/>
        <v>0</v>
      </c>
      <c r="E101" s="959">
        <f t="shared" si="17"/>
        <v>0</v>
      </c>
      <c r="F101" s="959">
        <f t="shared" si="17"/>
        <v>0</v>
      </c>
      <c r="G101" s="959">
        <f t="shared" si="17"/>
        <v>0</v>
      </c>
      <c r="H101" s="960">
        <f t="shared" si="17"/>
        <v>0</v>
      </c>
      <c r="I101" s="898"/>
    </row>
    <row r="102" spans="2:24" s="897" customFormat="1" ht="15.75" customHeight="1">
      <c r="B102" s="898"/>
      <c r="C102" s="898"/>
      <c r="D102" s="898"/>
      <c r="E102" s="898"/>
      <c r="F102" s="898"/>
      <c r="G102" s="898"/>
      <c r="H102" s="898"/>
      <c r="I102" s="898"/>
    </row>
    <row r="103" spans="2:24" s="897" customFormat="1" ht="15.75" customHeight="1" thickBot="1"/>
    <row r="104" spans="2:24" s="897" customFormat="1" ht="15.75" customHeight="1">
      <c r="B104" s="1953" t="s">
        <v>515</v>
      </c>
      <c r="C104" s="1959"/>
      <c r="D104" s="1959"/>
      <c r="E104" s="1959"/>
      <c r="F104" s="1959"/>
      <c r="G104" s="1959"/>
      <c r="H104" s="1960"/>
      <c r="I104" s="961"/>
      <c r="J104" s="1953" t="s">
        <v>516</v>
      </c>
      <c r="K104" s="1959"/>
      <c r="L104" s="1959"/>
      <c r="M104" s="1959"/>
      <c r="N104" s="1959"/>
      <c r="O104" s="1959"/>
      <c r="P104" s="1960"/>
      <c r="R104" s="1953" t="s">
        <v>212</v>
      </c>
      <c r="S104" s="1959"/>
      <c r="T104" s="1959"/>
      <c r="U104" s="1959"/>
      <c r="V104" s="1959"/>
      <c r="W104" s="1959"/>
      <c r="X104" s="1960"/>
    </row>
    <row r="105" spans="2:24" s="897" customFormat="1" ht="15.75" customHeight="1">
      <c r="B105" s="1961"/>
      <c r="C105" s="1966" t="s">
        <v>517</v>
      </c>
      <c r="D105" s="1973" t="s">
        <v>518</v>
      </c>
      <c r="E105" s="1974"/>
      <c r="F105" s="1974"/>
      <c r="G105" s="1974"/>
      <c r="H105" s="1975"/>
      <c r="J105" s="1961"/>
      <c r="K105" s="1976" t="s">
        <v>517</v>
      </c>
      <c r="L105" s="1018" t="s">
        <v>519</v>
      </c>
      <c r="M105" s="1019"/>
      <c r="N105" s="1019"/>
      <c r="O105" s="1019"/>
      <c r="P105" s="1020"/>
      <c r="R105" s="1961"/>
      <c r="S105" s="1966" t="s">
        <v>517</v>
      </c>
      <c r="T105" s="1946" t="s">
        <v>519</v>
      </c>
      <c r="U105" s="1947"/>
      <c r="V105" s="1947"/>
      <c r="W105" s="1947"/>
      <c r="X105" s="1948"/>
    </row>
    <row r="106" spans="2:24" s="897" customFormat="1" ht="39.75" customHeight="1">
      <c r="B106" s="1962"/>
      <c r="C106" s="1967"/>
      <c r="D106" s="966" t="s">
        <v>533</v>
      </c>
      <c r="E106" s="966" t="s">
        <v>522</v>
      </c>
      <c r="F106" s="966" t="s">
        <v>435</v>
      </c>
      <c r="G106" s="966" t="s">
        <v>534</v>
      </c>
      <c r="H106" s="967" t="s">
        <v>524</v>
      </c>
      <c r="I106" s="968"/>
      <c r="J106" s="1962"/>
      <c r="K106" s="1977"/>
      <c r="L106" s="966" t="s">
        <v>533</v>
      </c>
      <c r="M106" s="966" t="s">
        <v>522</v>
      </c>
      <c r="N106" s="966" t="s">
        <v>435</v>
      </c>
      <c r="O106" s="966" t="s">
        <v>534</v>
      </c>
      <c r="P106" s="967" t="s">
        <v>524</v>
      </c>
      <c r="R106" s="1962"/>
      <c r="S106" s="1972"/>
      <c r="T106" s="966" t="s">
        <v>533</v>
      </c>
      <c r="U106" s="966" t="s">
        <v>522</v>
      </c>
      <c r="V106" s="966" t="s">
        <v>435</v>
      </c>
      <c r="W106" s="966" t="s">
        <v>534</v>
      </c>
      <c r="X106" s="967" t="s">
        <v>524</v>
      </c>
    </row>
    <row r="107" spans="2:24" s="897" customFormat="1" ht="15.75" customHeight="1">
      <c r="B107" s="973" t="s">
        <v>438</v>
      </c>
      <c r="C107" s="974">
        <f>SUM(D107:H107)</f>
        <v>0</v>
      </c>
      <c r="D107" s="975"/>
      <c r="E107" s="975"/>
      <c r="F107" s="975"/>
      <c r="G107" s="976"/>
      <c r="H107" s="977"/>
      <c r="I107" s="968"/>
      <c r="J107" s="973" t="s">
        <v>438</v>
      </c>
      <c r="K107" s="974">
        <f>SUM(L107:P107)</f>
        <v>0</v>
      </c>
      <c r="L107" s="975"/>
      <c r="M107" s="975"/>
      <c r="N107" s="975"/>
      <c r="O107" s="976"/>
      <c r="P107" s="977"/>
      <c r="R107" s="973" t="s">
        <v>438</v>
      </c>
      <c r="S107" s="974">
        <f>SUM(T107:X107)</f>
        <v>0</v>
      </c>
      <c r="T107" s="975"/>
      <c r="U107" s="975"/>
      <c r="V107" s="975"/>
      <c r="W107" s="976"/>
      <c r="X107" s="977"/>
    </row>
    <row r="108" spans="2:24" s="897" customFormat="1" ht="15.75" customHeight="1">
      <c r="B108" s="952" t="s">
        <v>245</v>
      </c>
      <c r="C108" s="974">
        <f>SUM(D108:H108)</f>
        <v>0</v>
      </c>
      <c r="D108" s="971"/>
      <c r="E108" s="971"/>
      <c r="F108" s="971"/>
      <c r="G108" s="955"/>
      <c r="H108" s="972"/>
      <c r="I108" s="968"/>
      <c r="J108" s="952" t="s">
        <v>245</v>
      </c>
      <c r="K108" s="974">
        <f>SUM(L108:P108)</f>
        <v>0</v>
      </c>
      <c r="L108" s="971"/>
      <c r="M108" s="971"/>
      <c r="N108" s="971"/>
      <c r="O108" s="955"/>
      <c r="P108" s="972"/>
      <c r="R108" s="952" t="s">
        <v>245</v>
      </c>
      <c r="S108" s="974">
        <f>SUM(T108:X108)</f>
        <v>0</v>
      </c>
      <c r="T108" s="971"/>
      <c r="U108" s="971"/>
      <c r="V108" s="971"/>
      <c r="W108" s="955"/>
      <c r="X108" s="972"/>
    </row>
    <row r="109" spans="2:24" s="897" customFormat="1" ht="15.75" customHeight="1">
      <c r="B109" s="952" t="s">
        <v>427</v>
      </c>
      <c r="C109" s="974">
        <f>SUM(D109:H109)</f>
        <v>0</v>
      </c>
      <c r="D109" s="971"/>
      <c r="E109" s="971"/>
      <c r="F109" s="971"/>
      <c r="G109" s="955"/>
      <c r="H109" s="972"/>
      <c r="I109" s="968"/>
      <c r="J109" s="952" t="s">
        <v>427</v>
      </c>
      <c r="K109" s="974">
        <f>SUM(L109:P109)</f>
        <v>0</v>
      </c>
      <c r="L109" s="971"/>
      <c r="M109" s="971"/>
      <c r="N109" s="971"/>
      <c r="O109" s="955"/>
      <c r="P109" s="972"/>
      <c r="R109" s="952" t="s">
        <v>427</v>
      </c>
      <c r="S109" s="974">
        <f>SUM(T109:X109)</f>
        <v>0</v>
      </c>
      <c r="T109" s="971"/>
      <c r="U109" s="971"/>
      <c r="V109" s="971"/>
      <c r="W109" s="955"/>
      <c r="X109" s="972"/>
    </row>
    <row r="110" spans="2:24" s="897" customFormat="1" ht="15.75" customHeight="1">
      <c r="B110" s="952" t="s">
        <v>506</v>
      </c>
      <c r="C110" s="974">
        <f>SUM(D110:H110)</f>
        <v>0</v>
      </c>
      <c r="D110" s="971"/>
      <c r="E110" s="971"/>
      <c r="F110" s="971"/>
      <c r="G110" s="955"/>
      <c r="H110" s="972"/>
      <c r="I110" s="968"/>
      <c r="J110" s="952" t="s">
        <v>506</v>
      </c>
      <c r="K110" s="974">
        <f>SUM(L110:P110)</f>
        <v>0</v>
      </c>
      <c r="L110" s="971"/>
      <c r="M110" s="971"/>
      <c r="N110" s="971"/>
      <c r="O110" s="955"/>
      <c r="P110" s="972"/>
      <c r="R110" s="952" t="s">
        <v>506</v>
      </c>
      <c r="S110" s="974">
        <f>SUM(T110:X110)</f>
        <v>0</v>
      </c>
      <c r="T110" s="971"/>
      <c r="U110" s="971"/>
      <c r="V110" s="971"/>
      <c r="W110" s="955"/>
      <c r="X110" s="972"/>
    </row>
    <row r="111" spans="2:24" s="897" customFormat="1" ht="15.75" customHeight="1" thickBot="1">
      <c r="B111" s="957" t="s">
        <v>220</v>
      </c>
      <c r="C111" s="958">
        <f t="shared" ref="C111:H111" si="18">SUM(C107:C110)</f>
        <v>0</v>
      </c>
      <c r="D111" s="959">
        <f t="shared" si="18"/>
        <v>0</v>
      </c>
      <c r="E111" s="959">
        <f t="shared" si="18"/>
        <v>0</v>
      </c>
      <c r="F111" s="959">
        <f t="shared" si="18"/>
        <v>0</v>
      </c>
      <c r="G111" s="959">
        <f t="shared" si="18"/>
        <v>0</v>
      </c>
      <c r="H111" s="960">
        <f t="shared" si="18"/>
        <v>0</v>
      </c>
      <c r="I111" s="968"/>
      <c r="J111" s="957" t="s">
        <v>220</v>
      </c>
      <c r="K111" s="958">
        <f t="shared" ref="K111:P111" si="19">SUM(K107:K110)</f>
        <v>0</v>
      </c>
      <c r="L111" s="959">
        <f t="shared" si="19"/>
        <v>0</v>
      </c>
      <c r="M111" s="959">
        <f t="shared" si="19"/>
        <v>0</v>
      </c>
      <c r="N111" s="959">
        <f t="shared" si="19"/>
        <v>0</v>
      </c>
      <c r="O111" s="959">
        <f t="shared" si="19"/>
        <v>0</v>
      </c>
      <c r="P111" s="960">
        <f t="shared" si="19"/>
        <v>0</v>
      </c>
      <c r="R111" s="957" t="s">
        <v>220</v>
      </c>
      <c r="S111" s="958">
        <f t="shared" ref="S111:X111" si="20">SUM(S107:S110)</f>
        <v>0</v>
      </c>
      <c r="T111" s="959">
        <f t="shared" si="20"/>
        <v>0</v>
      </c>
      <c r="U111" s="959">
        <f t="shared" si="20"/>
        <v>0</v>
      </c>
      <c r="V111" s="959">
        <f t="shared" si="20"/>
        <v>0</v>
      </c>
      <c r="W111" s="959">
        <f t="shared" si="20"/>
        <v>0</v>
      </c>
      <c r="X111" s="960">
        <f t="shared" si="20"/>
        <v>0</v>
      </c>
    </row>
    <row r="112" spans="2:24" s="897" customFormat="1" ht="15.75" customHeight="1" thickBot="1">
      <c r="B112" s="978"/>
      <c r="C112" s="979"/>
      <c r="D112" s="979"/>
      <c r="E112" s="979"/>
      <c r="F112" s="979"/>
      <c r="G112" s="979"/>
      <c r="H112" s="979"/>
      <c r="I112" s="968"/>
      <c r="J112" s="978"/>
      <c r="K112" s="979"/>
      <c r="L112" s="979"/>
      <c r="M112" s="979"/>
      <c r="N112" s="979"/>
      <c r="O112" s="979"/>
      <c r="P112" s="979"/>
      <c r="R112" s="978"/>
      <c r="S112" s="979"/>
      <c r="T112" s="979"/>
      <c r="U112" s="979"/>
      <c r="V112" s="979"/>
      <c r="W112" s="979"/>
      <c r="X112" s="979"/>
    </row>
    <row r="113" spans="2:24" s="897" customFormat="1" ht="15.75" customHeight="1">
      <c r="B113" s="1953" t="s">
        <v>515</v>
      </c>
      <c r="C113" s="1959"/>
      <c r="D113" s="1959"/>
      <c r="E113" s="1959"/>
      <c r="F113" s="1959"/>
      <c r="G113" s="1959"/>
      <c r="H113" s="1960"/>
      <c r="I113" s="961"/>
      <c r="J113" s="1953" t="s">
        <v>516</v>
      </c>
      <c r="K113" s="1959"/>
      <c r="L113" s="1959"/>
      <c r="M113" s="1959"/>
      <c r="N113" s="1959"/>
      <c r="O113" s="1959"/>
      <c r="P113" s="1960"/>
      <c r="R113" s="1953" t="s">
        <v>212</v>
      </c>
      <c r="S113" s="1959"/>
      <c r="T113" s="1959"/>
      <c r="U113" s="1959"/>
      <c r="V113" s="1959"/>
      <c r="W113" s="1959"/>
      <c r="X113" s="1960"/>
    </row>
    <row r="114" spans="2:24" s="897" customFormat="1" ht="15.75" customHeight="1">
      <c r="B114" s="1961"/>
      <c r="C114" s="1966" t="s">
        <v>525</v>
      </c>
      <c r="D114" s="980" t="s">
        <v>518</v>
      </c>
      <c r="E114" s="981"/>
      <c r="F114" s="981"/>
      <c r="G114" s="981"/>
      <c r="H114" s="982"/>
      <c r="J114" s="1961"/>
      <c r="K114" s="1966" t="s">
        <v>525</v>
      </c>
      <c r="L114" s="1018" t="s">
        <v>519</v>
      </c>
      <c r="M114" s="1019"/>
      <c r="N114" s="1019"/>
      <c r="O114" s="1019"/>
      <c r="P114" s="1020"/>
      <c r="R114" s="1961"/>
      <c r="S114" s="1966" t="s">
        <v>525</v>
      </c>
      <c r="T114" s="1946" t="s">
        <v>519</v>
      </c>
      <c r="U114" s="1947"/>
      <c r="V114" s="1947"/>
      <c r="W114" s="1947"/>
      <c r="X114" s="1948"/>
    </row>
    <row r="115" spans="2:24" s="897" customFormat="1" ht="42.75" customHeight="1">
      <c r="B115" s="1962"/>
      <c r="C115" s="1967"/>
      <c r="D115" s="966" t="s">
        <v>533</v>
      </c>
      <c r="E115" s="966" t="s">
        <v>522</v>
      </c>
      <c r="F115" s="966" t="s">
        <v>435</v>
      </c>
      <c r="G115" s="966" t="s">
        <v>534</v>
      </c>
      <c r="H115" s="967" t="s">
        <v>524</v>
      </c>
      <c r="I115" s="968"/>
      <c r="J115" s="1962"/>
      <c r="K115" s="1967"/>
      <c r="L115" s="966" t="s">
        <v>533</v>
      </c>
      <c r="M115" s="966" t="s">
        <v>522</v>
      </c>
      <c r="N115" s="966" t="s">
        <v>435</v>
      </c>
      <c r="O115" s="966" t="s">
        <v>534</v>
      </c>
      <c r="P115" s="967" t="s">
        <v>524</v>
      </c>
      <c r="R115" s="1962"/>
      <c r="S115" s="1967"/>
      <c r="T115" s="966" t="s">
        <v>533</v>
      </c>
      <c r="U115" s="966" t="s">
        <v>522</v>
      </c>
      <c r="V115" s="966" t="s">
        <v>435</v>
      </c>
      <c r="W115" s="966" t="s">
        <v>534</v>
      </c>
      <c r="X115" s="967" t="s">
        <v>524</v>
      </c>
    </row>
    <row r="116" spans="2:24" s="897" customFormat="1" ht="15.75" customHeight="1">
      <c r="B116" s="985" t="s">
        <v>438</v>
      </c>
      <c r="C116" s="975"/>
      <c r="D116" s="975"/>
      <c r="E116" s="975"/>
      <c r="F116" s="975"/>
      <c r="G116" s="988"/>
      <c r="H116" s="986"/>
      <c r="I116" s="968"/>
      <c r="J116" s="973" t="s">
        <v>438</v>
      </c>
      <c r="K116" s="987"/>
      <c r="L116" s="975"/>
      <c r="M116" s="975"/>
      <c r="N116" s="975"/>
      <c r="O116" s="976"/>
      <c r="P116" s="988"/>
      <c r="R116" s="973" t="s">
        <v>438</v>
      </c>
      <c r="S116" s="987"/>
      <c r="T116" s="975"/>
      <c r="U116" s="975"/>
      <c r="V116" s="975"/>
      <c r="W116" s="976"/>
      <c r="X116" s="988"/>
    </row>
    <row r="117" spans="2:24" s="897" customFormat="1" ht="15.75" customHeight="1">
      <c r="B117" s="989" t="s">
        <v>245</v>
      </c>
      <c r="C117" s="971"/>
      <c r="D117" s="971"/>
      <c r="E117" s="971"/>
      <c r="F117" s="971"/>
      <c r="G117" s="992"/>
      <c r="H117" s="990"/>
      <c r="I117" s="968"/>
      <c r="J117" s="952" t="s">
        <v>245</v>
      </c>
      <c r="K117" s="991"/>
      <c r="L117" s="971"/>
      <c r="M117" s="971"/>
      <c r="N117" s="971"/>
      <c r="O117" s="955"/>
      <c r="P117" s="992"/>
      <c r="R117" s="952" t="s">
        <v>245</v>
      </c>
      <c r="S117" s="991"/>
      <c r="T117" s="971"/>
      <c r="U117" s="971"/>
      <c r="V117" s="971"/>
      <c r="W117" s="955"/>
      <c r="X117" s="992"/>
    </row>
    <row r="118" spans="2:24" s="897" customFormat="1" ht="15.75" customHeight="1">
      <c r="B118" s="989" t="s">
        <v>427</v>
      </c>
      <c r="C118" s="971"/>
      <c r="D118" s="971"/>
      <c r="E118" s="971"/>
      <c r="F118" s="971"/>
      <c r="G118" s="992"/>
      <c r="H118" s="990"/>
      <c r="I118" s="968"/>
      <c r="J118" s="952" t="s">
        <v>427</v>
      </c>
      <c r="K118" s="991"/>
      <c r="L118" s="971"/>
      <c r="M118" s="971"/>
      <c r="N118" s="971"/>
      <c r="O118" s="955"/>
      <c r="P118" s="992"/>
      <c r="R118" s="952" t="s">
        <v>427</v>
      </c>
      <c r="S118" s="991"/>
      <c r="T118" s="971"/>
      <c r="U118" s="971"/>
      <c r="V118" s="971"/>
      <c r="W118" s="955"/>
      <c r="X118" s="992"/>
    </row>
    <row r="119" spans="2:24" s="897" customFormat="1" ht="15.75" customHeight="1">
      <c r="B119" s="989" t="s">
        <v>506</v>
      </c>
      <c r="C119" s="971"/>
      <c r="D119" s="971"/>
      <c r="E119" s="971"/>
      <c r="F119" s="971"/>
      <c r="G119" s="992"/>
      <c r="H119" s="990"/>
      <c r="I119" s="968"/>
      <c r="J119" s="952" t="s">
        <v>506</v>
      </c>
      <c r="K119" s="991"/>
      <c r="L119" s="971"/>
      <c r="M119" s="971"/>
      <c r="N119" s="971"/>
      <c r="O119" s="955"/>
      <c r="P119" s="992"/>
      <c r="R119" s="952" t="s">
        <v>506</v>
      </c>
      <c r="S119" s="991"/>
      <c r="T119" s="971"/>
      <c r="U119" s="971"/>
      <c r="V119" s="971"/>
      <c r="W119" s="955"/>
      <c r="X119" s="992"/>
    </row>
    <row r="120" spans="2:24" s="897" customFormat="1" ht="15.75" customHeight="1" thickBot="1">
      <c r="B120" s="993" t="s">
        <v>220</v>
      </c>
      <c r="C120" s="994">
        <f>SUM(C116:C119)</f>
        <v>0</v>
      </c>
      <c r="D120" s="959">
        <f>SUM(D116:D119)</f>
        <v>0</v>
      </c>
      <c r="E120" s="959">
        <f>SUM(E116:E119)</f>
        <v>0</v>
      </c>
      <c r="F120" s="959">
        <f>SUM(F116:F119)</f>
        <v>0</v>
      </c>
      <c r="G120" s="1021"/>
      <c r="H120" s="995">
        <f>SUM(H116:H119)</f>
        <v>0</v>
      </c>
      <c r="I120" s="968"/>
      <c r="J120" s="957" t="s">
        <v>220</v>
      </c>
      <c r="K120" s="958">
        <f t="shared" ref="K120:P120" si="21">SUM(K116:K119)</f>
        <v>0</v>
      </c>
      <c r="L120" s="959">
        <f t="shared" si="21"/>
        <v>0</v>
      </c>
      <c r="M120" s="959">
        <f t="shared" si="21"/>
        <v>0</v>
      </c>
      <c r="N120" s="959">
        <f t="shared" si="21"/>
        <v>0</v>
      </c>
      <c r="O120" s="959">
        <f t="shared" si="21"/>
        <v>0</v>
      </c>
      <c r="P120" s="995">
        <f t="shared" si="21"/>
        <v>0</v>
      </c>
      <c r="R120" s="957" t="s">
        <v>220</v>
      </c>
      <c r="S120" s="958">
        <f t="shared" ref="S120:X120" si="22">SUM(S116:S119)</f>
        <v>0</v>
      </c>
      <c r="T120" s="959">
        <f t="shared" si="22"/>
        <v>0</v>
      </c>
      <c r="U120" s="959">
        <f t="shared" si="22"/>
        <v>0</v>
      </c>
      <c r="V120" s="959">
        <f t="shared" si="22"/>
        <v>0</v>
      </c>
      <c r="W120" s="959">
        <f t="shared" si="22"/>
        <v>0</v>
      </c>
      <c r="X120" s="995">
        <f t="shared" si="22"/>
        <v>0</v>
      </c>
    </row>
    <row r="121" spans="2:24" s="897" customFormat="1" ht="15.75" customHeight="1" thickBot="1">
      <c r="B121" s="978"/>
      <c r="C121" s="979"/>
      <c r="D121" s="979"/>
      <c r="E121" s="979"/>
      <c r="F121" s="979"/>
      <c r="G121" s="979"/>
      <c r="H121" s="979"/>
      <c r="I121" s="968"/>
      <c r="J121" s="978"/>
      <c r="K121" s="979"/>
      <c r="L121" s="979"/>
      <c r="M121" s="979"/>
      <c r="N121" s="979"/>
      <c r="O121" s="979"/>
      <c r="P121" s="979"/>
      <c r="R121" s="978"/>
      <c r="S121" s="979"/>
      <c r="T121" s="979"/>
      <c r="U121" s="979"/>
      <c r="V121" s="979"/>
      <c r="W121" s="979"/>
      <c r="X121" s="979"/>
    </row>
    <row r="122" spans="2:24" s="897" customFormat="1" ht="15.75" customHeight="1">
      <c r="B122" s="1953" t="s">
        <v>515</v>
      </c>
      <c r="C122" s="1959"/>
      <c r="D122" s="1959"/>
      <c r="E122" s="1959"/>
      <c r="F122" s="1959"/>
      <c r="G122" s="1959"/>
      <c r="H122" s="1960"/>
      <c r="J122" s="1953" t="s">
        <v>516</v>
      </c>
      <c r="K122" s="1959"/>
      <c r="L122" s="1959"/>
      <c r="M122" s="1959"/>
      <c r="N122" s="1959"/>
      <c r="O122" s="1959"/>
      <c r="P122" s="1960"/>
      <c r="R122" s="1953" t="s">
        <v>212</v>
      </c>
      <c r="S122" s="1959"/>
      <c r="T122" s="1959"/>
      <c r="U122" s="1959"/>
      <c r="V122" s="1959"/>
      <c r="W122" s="1959"/>
      <c r="X122" s="1960"/>
    </row>
    <row r="123" spans="2:24" s="897" customFormat="1" ht="15.75" customHeight="1">
      <c r="B123" s="1961"/>
      <c r="C123" s="1966" t="s">
        <v>526</v>
      </c>
      <c r="D123" s="1018" t="s">
        <v>527</v>
      </c>
      <c r="E123" s="1019"/>
      <c r="F123" s="1019"/>
      <c r="G123" s="1019"/>
      <c r="H123" s="1020"/>
      <c r="J123" s="1961"/>
      <c r="K123" s="1971" t="s">
        <v>526</v>
      </c>
      <c r="L123" s="980" t="s">
        <v>528</v>
      </c>
      <c r="M123" s="981"/>
      <c r="N123" s="981"/>
      <c r="O123" s="981"/>
      <c r="P123" s="982"/>
      <c r="R123" s="1961"/>
      <c r="S123" s="1966" t="s">
        <v>526</v>
      </c>
      <c r="T123" s="1946" t="s">
        <v>528</v>
      </c>
      <c r="U123" s="1947"/>
      <c r="V123" s="1947"/>
      <c r="W123" s="1947"/>
      <c r="X123" s="1948"/>
    </row>
    <row r="124" spans="2:24" s="897" customFormat="1" ht="39.75" customHeight="1">
      <c r="B124" s="1962"/>
      <c r="C124" s="1967"/>
      <c r="D124" s="966" t="s">
        <v>533</v>
      </c>
      <c r="E124" s="966" t="s">
        <v>522</v>
      </c>
      <c r="F124" s="966" t="s">
        <v>435</v>
      </c>
      <c r="G124" s="966" t="s">
        <v>534</v>
      </c>
      <c r="H124" s="967" t="s">
        <v>524</v>
      </c>
      <c r="J124" s="1962"/>
      <c r="K124" s="1967"/>
      <c r="L124" s="966" t="s">
        <v>533</v>
      </c>
      <c r="M124" s="966" t="s">
        <v>522</v>
      </c>
      <c r="N124" s="966" t="s">
        <v>435</v>
      </c>
      <c r="O124" s="966" t="s">
        <v>534</v>
      </c>
      <c r="P124" s="967" t="s">
        <v>524</v>
      </c>
      <c r="R124" s="1962"/>
      <c r="S124" s="1967"/>
      <c r="T124" s="966" t="s">
        <v>533</v>
      </c>
      <c r="U124" s="966" t="s">
        <v>522</v>
      </c>
      <c r="V124" s="966" t="s">
        <v>435</v>
      </c>
      <c r="W124" s="966" t="s">
        <v>534</v>
      </c>
      <c r="X124" s="967" t="s">
        <v>524</v>
      </c>
    </row>
    <row r="125" spans="2:24" s="897" customFormat="1" ht="15.75" customHeight="1">
      <c r="B125" s="973" t="s">
        <v>438</v>
      </c>
      <c r="C125" s="998">
        <f>SUM(D42:F42)</f>
        <v>0</v>
      </c>
      <c r="D125" s="999"/>
      <c r="E125" s="999"/>
      <c r="F125" s="999"/>
      <c r="G125" s="988"/>
      <c r="H125" s="1002"/>
      <c r="J125" s="973" t="s">
        <v>438</v>
      </c>
      <c r="K125" s="998">
        <f>SUM(G42:H42)</f>
        <v>0</v>
      </c>
      <c r="L125" s="999"/>
      <c r="M125" s="999"/>
      <c r="N125" s="999"/>
      <c r="O125" s="988"/>
      <c r="P125" s="1002"/>
      <c r="R125" s="973" t="s">
        <v>438</v>
      </c>
      <c r="S125" s="998">
        <f>SUM(I42:M42)</f>
        <v>0</v>
      </c>
      <c r="T125" s="999"/>
      <c r="U125" s="999"/>
      <c r="V125" s="999"/>
      <c r="W125" s="988"/>
      <c r="X125" s="1002"/>
    </row>
    <row r="126" spans="2:24" s="897" customFormat="1" ht="15.75" customHeight="1">
      <c r="B126" s="952" t="s">
        <v>245</v>
      </c>
      <c r="C126" s="998">
        <f>SUM(D43:F43)</f>
        <v>0</v>
      </c>
      <c r="D126" s="916"/>
      <c r="E126" s="916"/>
      <c r="F126" s="916"/>
      <c r="G126" s="992"/>
      <c r="H126" s="1000"/>
      <c r="J126" s="952" t="s">
        <v>245</v>
      </c>
      <c r="K126" s="998">
        <f>SUM(G43:H43)</f>
        <v>0</v>
      </c>
      <c r="L126" s="916"/>
      <c r="M126" s="916"/>
      <c r="N126" s="916"/>
      <c r="O126" s="992"/>
      <c r="P126" s="1000"/>
      <c r="R126" s="952" t="s">
        <v>245</v>
      </c>
      <c r="S126" s="998">
        <f>SUM(I43:M43)</f>
        <v>0</v>
      </c>
      <c r="T126" s="916"/>
      <c r="U126" s="916"/>
      <c r="V126" s="916"/>
      <c r="W126" s="992"/>
      <c r="X126" s="1000"/>
    </row>
    <row r="127" spans="2:24" s="897" customFormat="1" ht="15.75" customHeight="1">
      <c r="B127" s="952" t="s">
        <v>427</v>
      </c>
      <c r="C127" s="998">
        <f>SUM(D44:F44)</f>
        <v>0</v>
      </c>
      <c r="D127" s="916"/>
      <c r="E127" s="916"/>
      <c r="F127" s="916"/>
      <c r="G127" s="992"/>
      <c r="H127" s="1000"/>
      <c r="J127" s="952" t="s">
        <v>427</v>
      </c>
      <c r="K127" s="998">
        <f>SUM(G44:H44)</f>
        <v>0</v>
      </c>
      <c r="L127" s="916"/>
      <c r="M127" s="916"/>
      <c r="N127" s="916"/>
      <c r="O127" s="992"/>
      <c r="P127" s="1000"/>
      <c r="R127" s="952" t="s">
        <v>427</v>
      </c>
      <c r="S127" s="998">
        <f>SUM(I44:M44)</f>
        <v>0</v>
      </c>
      <c r="T127" s="916"/>
      <c r="U127" s="916"/>
      <c r="V127" s="916"/>
      <c r="W127" s="992"/>
      <c r="X127" s="1000"/>
    </row>
    <row r="128" spans="2:24" s="897" customFormat="1" ht="15.75" customHeight="1">
      <c r="B128" s="952" t="s">
        <v>506</v>
      </c>
      <c r="C128" s="998">
        <f>SUM(D45:F45)</f>
        <v>0</v>
      </c>
      <c r="D128" s="916"/>
      <c r="E128" s="916"/>
      <c r="F128" s="916"/>
      <c r="G128" s="992"/>
      <c r="H128" s="1000"/>
      <c r="J128" s="952" t="s">
        <v>506</v>
      </c>
      <c r="K128" s="998">
        <f>SUM(G45:H45)</f>
        <v>0</v>
      </c>
      <c r="L128" s="916"/>
      <c r="M128" s="916"/>
      <c r="N128" s="916"/>
      <c r="O128" s="992"/>
      <c r="P128" s="1000"/>
      <c r="R128" s="952" t="s">
        <v>506</v>
      </c>
      <c r="S128" s="998">
        <f>SUM(I45:M45)</f>
        <v>0</v>
      </c>
      <c r="T128" s="916"/>
      <c r="U128" s="916"/>
      <c r="V128" s="916"/>
      <c r="W128" s="992"/>
      <c r="X128" s="1000"/>
    </row>
    <row r="129" spans="2:24" s="897" customFormat="1" ht="15.75" customHeight="1" thickBot="1">
      <c r="B129" s="957" t="s">
        <v>220</v>
      </c>
      <c r="C129" s="1003">
        <f>SUM(C125:C128)</f>
        <v>0</v>
      </c>
      <c r="D129" s="1004">
        <f>SUM(D125:D128)</f>
        <v>0</v>
      </c>
      <c r="E129" s="1004">
        <f>SUM(E125:E128)</f>
        <v>0</v>
      </c>
      <c r="F129" s="1004">
        <f>SUM(F125:F128)</f>
        <v>0</v>
      </c>
      <c r="G129" s="1021"/>
      <c r="H129" s="995">
        <f>SUM(H125:H128)</f>
        <v>0</v>
      </c>
      <c r="J129" s="957" t="s">
        <v>220</v>
      </c>
      <c r="K129" s="1003">
        <f>SUM(K125:K128)</f>
        <v>0</v>
      </c>
      <c r="L129" s="1004">
        <f>SUM(L125:L128)</f>
        <v>0</v>
      </c>
      <c r="M129" s="1004">
        <f>SUM(M125:M128)</f>
        <v>0</v>
      </c>
      <c r="N129" s="1004">
        <f>SUM(N125:N128)</f>
        <v>0</v>
      </c>
      <c r="O129" s="1021"/>
      <c r="P129" s="995">
        <f>SUM(P125:P128)</f>
        <v>0</v>
      </c>
      <c r="R129" s="957" t="s">
        <v>220</v>
      </c>
      <c r="S129" s="1003">
        <f>SUM(S125:S128)</f>
        <v>0</v>
      </c>
      <c r="T129" s="1004">
        <f>SUM(T125:T128)</f>
        <v>0</v>
      </c>
      <c r="U129" s="1004">
        <f>SUM(U125:U128)</f>
        <v>0</v>
      </c>
      <c r="V129" s="1004">
        <f>SUM(V125:V128)</f>
        <v>0</v>
      </c>
      <c r="W129" s="1021"/>
      <c r="X129" s="995">
        <f>SUM(X125:X128)</f>
        <v>0</v>
      </c>
    </row>
    <row r="130" spans="2:24" s="897" customFormat="1" ht="15.75" customHeight="1" thickBot="1"/>
    <row r="131" spans="2:24" s="897" customFormat="1" ht="15.75" customHeight="1">
      <c r="B131" s="1953" t="s">
        <v>515</v>
      </c>
      <c r="C131" s="1959"/>
      <c r="D131" s="1959"/>
      <c r="E131" s="1959"/>
      <c r="F131" s="1959"/>
      <c r="G131" s="1959"/>
      <c r="H131" s="1960"/>
      <c r="J131" s="1953" t="s">
        <v>516</v>
      </c>
      <c r="K131" s="1959"/>
      <c r="L131" s="1959"/>
      <c r="M131" s="1959"/>
      <c r="N131" s="1959"/>
      <c r="O131" s="1959"/>
      <c r="P131" s="1960"/>
      <c r="R131" s="1953" t="s">
        <v>212</v>
      </c>
      <c r="S131" s="1959"/>
      <c r="T131" s="1959"/>
      <c r="U131" s="1959"/>
      <c r="V131" s="1959"/>
      <c r="W131" s="1959"/>
      <c r="X131" s="1960"/>
    </row>
    <row r="132" spans="2:24" s="897" customFormat="1" ht="15.75" customHeight="1">
      <c r="B132" s="1961"/>
      <c r="C132" s="1966" t="s">
        <v>529</v>
      </c>
      <c r="D132" s="1018" t="s">
        <v>530</v>
      </c>
      <c r="E132" s="1019"/>
      <c r="F132" s="1019"/>
      <c r="G132" s="1019"/>
      <c r="H132" s="1020"/>
      <c r="J132" s="1961"/>
      <c r="K132" s="1966" t="s">
        <v>529</v>
      </c>
      <c r="L132" s="1018" t="s">
        <v>531</v>
      </c>
      <c r="M132" s="1019"/>
      <c r="N132" s="1019"/>
      <c r="O132" s="1019"/>
      <c r="P132" s="1020"/>
      <c r="R132" s="1961"/>
      <c r="S132" s="1966" t="s">
        <v>529</v>
      </c>
      <c r="T132" s="1946" t="s">
        <v>531</v>
      </c>
      <c r="U132" s="1947"/>
      <c r="V132" s="1947"/>
      <c r="W132" s="1947"/>
      <c r="X132" s="1948"/>
    </row>
    <row r="133" spans="2:24" s="897" customFormat="1" ht="40.5" customHeight="1">
      <c r="B133" s="1962"/>
      <c r="C133" s="1972"/>
      <c r="D133" s="966" t="s">
        <v>533</v>
      </c>
      <c r="E133" s="966" t="s">
        <v>522</v>
      </c>
      <c r="F133" s="966" t="s">
        <v>435</v>
      </c>
      <c r="G133" s="966" t="s">
        <v>534</v>
      </c>
      <c r="H133" s="967" t="s">
        <v>524</v>
      </c>
      <c r="J133" s="1962"/>
      <c r="K133" s="1967"/>
      <c r="L133" s="966" t="s">
        <v>533</v>
      </c>
      <c r="M133" s="966" t="s">
        <v>522</v>
      </c>
      <c r="N133" s="966" t="s">
        <v>435</v>
      </c>
      <c r="O133" s="966" t="s">
        <v>534</v>
      </c>
      <c r="P133" s="967" t="s">
        <v>524</v>
      </c>
      <c r="R133" s="1962"/>
      <c r="S133" s="1967"/>
      <c r="T133" s="966" t="s">
        <v>533</v>
      </c>
      <c r="U133" s="966" t="s">
        <v>522</v>
      </c>
      <c r="V133" s="966" t="s">
        <v>435</v>
      </c>
      <c r="W133" s="966" t="s">
        <v>534</v>
      </c>
      <c r="X133" s="967" t="s">
        <v>524</v>
      </c>
    </row>
    <row r="134" spans="2:24" s="897" customFormat="1" ht="15.75" customHeight="1">
      <c r="B134" s="973" t="s">
        <v>438</v>
      </c>
      <c r="C134" s="998">
        <f t="shared" ref="C134:F137" si="23">IF(C116&gt;0,C125*1000/C116,0)</f>
        <v>0</v>
      </c>
      <c r="D134" s="1007">
        <f t="shared" si="23"/>
        <v>0</v>
      </c>
      <c r="E134" s="1007">
        <f t="shared" si="23"/>
        <v>0</v>
      </c>
      <c r="F134" s="1007">
        <f t="shared" si="23"/>
        <v>0</v>
      </c>
      <c r="G134" s="986"/>
      <c r="H134" s="1002"/>
      <c r="J134" s="973" t="s">
        <v>438</v>
      </c>
      <c r="K134" s="998">
        <f t="shared" ref="K134:N137" si="24">IF(K116&gt;0,K125*1000/K116,0)</f>
        <v>0</v>
      </c>
      <c r="L134" s="1007"/>
      <c r="M134" s="1007"/>
      <c r="N134" s="1007">
        <f t="shared" si="24"/>
        <v>0</v>
      </c>
      <c r="O134" s="986"/>
      <c r="P134" s="1002"/>
      <c r="R134" s="973" t="s">
        <v>438</v>
      </c>
      <c r="S134" s="998">
        <f t="shared" ref="S134:V137" si="25">IF(S116&gt;0,S125*1000/S116,0)</f>
        <v>0</v>
      </c>
      <c r="T134" s="1007">
        <f t="shared" si="25"/>
        <v>0</v>
      </c>
      <c r="U134" s="1007">
        <f t="shared" si="25"/>
        <v>0</v>
      </c>
      <c r="V134" s="1007">
        <f t="shared" si="25"/>
        <v>0</v>
      </c>
      <c r="W134" s="986"/>
      <c r="X134" s="1002"/>
    </row>
    <row r="135" spans="2:24" s="897" customFormat="1" ht="15.75" customHeight="1">
      <c r="B135" s="952" t="s">
        <v>245</v>
      </c>
      <c r="C135" s="1009">
        <f t="shared" si="23"/>
        <v>0</v>
      </c>
      <c r="D135" s="1010">
        <f t="shared" si="23"/>
        <v>0</v>
      </c>
      <c r="E135" s="1010">
        <f t="shared" si="23"/>
        <v>0</v>
      </c>
      <c r="F135" s="1010">
        <f t="shared" si="23"/>
        <v>0</v>
      </c>
      <c r="G135" s="990"/>
      <c r="H135" s="1000"/>
      <c r="J135" s="952" t="s">
        <v>245</v>
      </c>
      <c r="K135" s="1009">
        <f t="shared" si="24"/>
        <v>0</v>
      </c>
      <c r="L135" s="1010">
        <f t="shared" si="24"/>
        <v>0</v>
      </c>
      <c r="M135" s="1010">
        <f t="shared" si="24"/>
        <v>0</v>
      </c>
      <c r="N135" s="1010">
        <f t="shared" si="24"/>
        <v>0</v>
      </c>
      <c r="O135" s="990"/>
      <c r="P135" s="1000"/>
      <c r="R135" s="952" t="s">
        <v>245</v>
      </c>
      <c r="S135" s="1009">
        <f t="shared" si="25"/>
        <v>0</v>
      </c>
      <c r="T135" s="1010">
        <f t="shared" si="25"/>
        <v>0</v>
      </c>
      <c r="U135" s="1010">
        <f t="shared" si="25"/>
        <v>0</v>
      </c>
      <c r="V135" s="1010">
        <f t="shared" si="25"/>
        <v>0</v>
      </c>
      <c r="W135" s="990"/>
      <c r="X135" s="1000"/>
    </row>
    <row r="136" spans="2:24" s="897" customFormat="1" ht="15.75" customHeight="1">
      <c r="B136" s="952" t="s">
        <v>427</v>
      </c>
      <c r="C136" s="1009">
        <f t="shared" si="23"/>
        <v>0</v>
      </c>
      <c r="D136" s="1010">
        <f t="shared" si="23"/>
        <v>0</v>
      </c>
      <c r="E136" s="1010">
        <f t="shared" si="23"/>
        <v>0</v>
      </c>
      <c r="F136" s="1010">
        <f t="shared" si="23"/>
        <v>0</v>
      </c>
      <c r="G136" s="990"/>
      <c r="H136" s="1000"/>
      <c r="J136" s="952" t="s">
        <v>427</v>
      </c>
      <c r="K136" s="1009">
        <f t="shared" si="24"/>
        <v>0</v>
      </c>
      <c r="L136" s="1010">
        <f t="shared" si="24"/>
        <v>0</v>
      </c>
      <c r="M136" s="1010">
        <f t="shared" si="24"/>
        <v>0</v>
      </c>
      <c r="N136" s="1010">
        <f t="shared" si="24"/>
        <v>0</v>
      </c>
      <c r="O136" s="990"/>
      <c r="P136" s="1000"/>
      <c r="R136" s="952" t="s">
        <v>427</v>
      </c>
      <c r="S136" s="1009">
        <f t="shared" si="25"/>
        <v>0</v>
      </c>
      <c r="T136" s="1010">
        <f t="shared" si="25"/>
        <v>0</v>
      </c>
      <c r="U136" s="1010">
        <f t="shared" si="25"/>
        <v>0</v>
      </c>
      <c r="V136" s="1010">
        <f t="shared" si="25"/>
        <v>0</v>
      </c>
      <c r="W136" s="990"/>
      <c r="X136" s="1000"/>
    </row>
    <row r="137" spans="2:24" s="897" customFormat="1" ht="15.75" customHeight="1" thickBot="1">
      <c r="B137" s="1011" t="s">
        <v>506</v>
      </c>
      <c r="C137" s="1012">
        <f t="shared" si="23"/>
        <v>0</v>
      </c>
      <c r="D137" s="1013">
        <f t="shared" si="23"/>
        <v>0</v>
      </c>
      <c r="E137" s="1013">
        <f t="shared" si="23"/>
        <v>0</v>
      </c>
      <c r="F137" s="1013">
        <f t="shared" si="23"/>
        <v>0</v>
      </c>
      <c r="G137" s="1022"/>
      <c r="H137" s="1014"/>
      <c r="J137" s="1011" t="s">
        <v>506</v>
      </c>
      <c r="K137" s="1012">
        <f t="shared" si="24"/>
        <v>0</v>
      </c>
      <c r="L137" s="1013">
        <f t="shared" si="24"/>
        <v>0</v>
      </c>
      <c r="M137" s="1013">
        <f t="shared" si="24"/>
        <v>0</v>
      </c>
      <c r="N137" s="1013">
        <f t="shared" si="24"/>
        <v>0</v>
      </c>
      <c r="O137" s="1022"/>
      <c r="P137" s="1014"/>
      <c r="R137" s="1011" t="s">
        <v>506</v>
      </c>
      <c r="S137" s="1012">
        <f t="shared" si="25"/>
        <v>0</v>
      </c>
      <c r="T137" s="1013">
        <f t="shared" si="25"/>
        <v>0</v>
      </c>
      <c r="U137" s="1013">
        <f t="shared" si="25"/>
        <v>0</v>
      </c>
      <c r="V137" s="1013">
        <f t="shared" si="25"/>
        <v>0</v>
      </c>
      <c r="W137" s="1022"/>
      <c r="X137" s="1014"/>
    </row>
  </sheetData>
  <sheetProtection insertRows="0"/>
  <mergeCells count="86">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 ref="S114:S115"/>
    <mergeCell ref="T114:X114"/>
    <mergeCell ref="B122:H122"/>
    <mergeCell ref="J122:P122"/>
    <mergeCell ref="R122:X122"/>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B76:H76"/>
    <mergeCell ref="J76:P76"/>
    <mergeCell ref="R76:X76"/>
    <mergeCell ref="B77:B78"/>
    <mergeCell ref="C77:C78"/>
    <mergeCell ref="D77:H77"/>
    <mergeCell ref="J77:J78"/>
    <mergeCell ref="K77:K78"/>
    <mergeCell ref="R77:R78"/>
    <mergeCell ref="S77:S78"/>
    <mergeCell ref="T77:X77"/>
    <mergeCell ref="B67:H67"/>
    <mergeCell ref="J67:P67"/>
    <mergeCell ref="R67:X67"/>
    <mergeCell ref="B68:B69"/>
    <mergeCell ref="C68:C69"/>
    <mergeCell ref="D68:H68"/>
    <mergeCell ref="J68:J69"/>
    <mergeCell ref="K68:K69"/>
    <mergeCell ref="R68:R69"/>
    <mergeCell ref="S68:S69"/>
    <mergeCell ref="T68:X68"/>
    <mergeCell ref="T59:X59"/>
    <mergeCell ref="B7:C8"/>
    <mergeCell ref="B31:C32"/>
    <mergeCell ref="B40:C41"/>
    <mergeCell ref="B58:H58"/>
    <mergeCell ref="J58:P58"/>
    <mergeCell ref="R58:X58"/>
    <mergeCell ref="B59:B60"/>
    <mergeCell ref="D59:H59"/>
    <mergeCell ref="L59:P59"/>
    <mergeCell ref="R59:R60"/>
    <mergeCell ref="S59:S60"/>
  </mergeCells>
  <phoneticPr fontId="2"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5FFFF"/>
    <pageSetUpPr fitToPage="1"/>
  </sheetPr>
  <dimension ref="A1:K155"/>
  <sheetViews>
    <sheetView zoomScale="80" zoomScaleNormal="80" workbookViewId="0">
      <selection activeCell="V44" sqref="V44"/>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08" t="s">
        <v>94</v>
      </c>
      <c r="F1" s="407"/>
    </row>
    <row r="2" spans="1:11">
      <c r="A2" s="408"/>
    </row>
    <row r="3" spans="1:11">
      <c r="A3" s="408" t="s">
        <v>535</v>
      </c>
    </row>
    <row r="4" spans="1:11">
      <c r="A4" s="408"/>
    </row>
    <row r="6" spans="1:11" ht="13.5" thickBot="1"/>
    <row r="7" spans="1:11" ht="15" customHeight="1">
      <c r="B7" s="1978" t="s">
        <v>97</v>
      </c>
      <c r="C7" s="1979"/>
      <c r="D7" s="1979"/>
      <c r="E7" s="1980"/>
      <c r="F7" s="1987" t="s">
        <v>210</v>
      </c>
      <c r="G7" s="1024" t="s">
        <v>536</v>
      </c>
      <c r="H7" s="1025"/>
      <c r="I7" s="1024" t="s">
        <v>537</v>
      </c>
      <c r="J7" s="1025"/>
    </row>
    <row r="8" spans="1:11" ht="50.25" customHeight="1">
      <c r="B8" s="1981"/>
      <c r="C8" s="1982"/>
      <c r="D8" s="1982"/>
      <c r="E8" s="1983"/>
      <c r="F8" s="1988"/>
      <c r="G8" s="1026" t="s">
        <v>538</v>
      </c>
      <c r="H8" s="1027" t="s">
        <v>539</v>
      </c>
      <c r="I8" s="1026" t="s">
        <v>538</v>
      </c>
      <c r="J8" s="1027" t="s">
        <v>539</v>
      </c>
    </row>
    <row r="9" spans="1:11" ht="15" customHeight="1" thickBot="1">
      <c r="B9" s="1984"/>
      <c r="C9" s="1985"/>
      <c r="D9" s="1985"/>
      <c r="E9" s="1986"/>
      <c r="F9" s="1989"/>
      <c r="G9" s="1028" t="s">
        <v>540</v>
      </c>
      <c r="H9" s="1029" t="s">
        <v>540</v>
      </c>
      <c r="I9" s="1028" t="s">
        <v>540</v>
      </c>
      <c r="J9" s="1029" t="s">
        <v>540</v>
      </c>
    </row>
    <row r="10" spans="1:11" ht="15" customHeight="1">
      <c r="B10" s="1030"/>
      <c r="C10" s="1031" t="s">
        <v>109</v>
      </c>
      <c r="D10" s="1031"/>
      <c r="E10" s="1032"/>
      <c r="F10" s="1033"/>
      <c r="G10" s="1034"/>
      <c r="H10" s="1035"/>
      <c r="I10" s="1034"/>
      <c r="J10" s="1035"/>
    </row>
    <row r="11" spans="1:11" ht="15" customHeight="1">
      <c r="B11" s="1030"/>
      <c r="C11" s="1032"/>
      <c r="D11" s="1036" t="s">
        <v>454</v>
      </c>
      <c r="E11" s="1032"/>
      <c r="F11" s="1037"/>
      <c r="G11" s="1038"/>
      <c r="H11" s="1039"/>
      <c r="I11" s="1038"/>
      <c r="J11" s="1039"/>
    </row>
    <row r="12" spans="1:11" ht="15" customHeight="1">
      <c r="B12" s="1040"/>
      <c r="C12" s="1032"/>
      <c r="D12" s="1032"/>
      <c r="E12" s="1032" t="s">
        <v>111</v>
      </c>
      <c r="F12" s="1041" t="s">
        <v>541</v>
      </c>
      <c r="G12" s="1042">
        <v>19.530434036006369</v>
      </c>
      <c r="H12" s="1043">
        <v>23.614627339276826</v>
      </c>
      <c r="I12" s="1042">
        <v>22.767390665510856</v>
      </c>
      <c r="J12" s="1043">
        <v>27.528494505681106</v>
      </c>
      <c r="K12" s="1044"/>
    </row>
    <row r="13" spans="1:11" ht="15" customHeight="1">
      <c r="B13" s="1040"/>
      <c r="C13" s="1032"/>
      <c r="D13" s="1032"/>
      <c r="E13" s="1032" t="s">
        <v>112</v>
      </c>
      <c r="F13" s="1041" t="s">
        <v>542</v>
      </c>
      <c r="G13" s="1042">
        <v>0.56383727616857438</v>
      </c>
      <c r="H13" s="1043">
        <v>0.68174660799481313</v>
      </c>
      <c r="I13" s="1042">
        <v>0.56383727616857438</v>
      </c>
      <c r="J13" s="1043">
        <v>0.68174660799481313</v>
      </c>
      <c r="K13" s="1044"/>
    </row>
    <row r="14" spans="1:11" ht="15" customHeight="1">
      <c r="B14" s="1040"/>
      <c r="C14" s="1032"/>
      <c r="D14" s="1032"/>
      <c r="E14" s="1032"/>
      <c r="F14" s="1041"/>
      <c r="G14" s="1045"/>
      <c r="H14" s="1046"/>
      <c r="I14" s="1045"/>
      <c r="J14" s="1046"/>
    </row>
    <row r="15" spans="1:11" ht="15" customHeight="1">
      <c r="B15" s="1040"/>
      <c r="C15" s="1032"/>
      <c r="D15" s="1036" t="s">
        <v>113</v>
      </c>
      <c r="E15" s="1032"/>
      <c r="F15" s="1041"/>
      <c r="G15" s="1045"/>
      <c r="H15" s="1046"/>
      <c r="I15" s="1045"/>
      <c r="J15" s="1046"/>
    </row>
    <row r="16" spans="1:11" ht="15" customHeight="1">
      <c r="B16" s="1040"/>
      <c r="C16" s="1032"/>
      <c r="D16" s="1032"/>
      <c r="E16" s="1032" t="s">
        <v>114</v>
      </c>
      <c r="F16" s="1041" t="s">
        <v>542</v>
      </c>
      <c r="G16" s="1042">
        <v>0.88744269032566714</v>
      </c>
      <c r="H16" s="1043">
        <v>1.0730242030653374</v>
      </c>
      <c r="I16" s="1042">
        <v>1.2635471825202351</v>
      </c>
      <c r="J16" s="1043">
        <v>1.5277794536362459</v>
      </c>
      <c r="K16" s="1044"/>
    </row>
    <row r="17" spans="2:11" ht="15" customHeight="1">
      <c r="B17" s="1040"/>
      <c r="C17" s="1032"/>
      <c r="D17" s="1032"/>
      <c r="E17" s="1032"/>
      <c r="F17" s="1041"/>
      <c r="G17" s="1045"/>
      <c r="H17" s="1046"/>
      <c r="I17" s="1045"/>
      <c r="J17" s="1046"/>
    </row>
    <row r="18" spans="2:11" ht="15" customHeight="1">
      <c r="B18" s="1040"/>
      <c r="C18" s="1032"/>
      <c r="D18" s="1036" t="s">
        <v>115</v>
      </c>
      <c r="E18" s="1032"/>
      <c r="F18" s="1041"/>
      <c r="G18" s="1045"/>
      <c r="H18" s="1046"/>
      <c r="I18" s="1045"/>
      <c r="J18" s="1046"/>
    </row>
    <row r="19" spans="2:11" ht="15" customHeight="1">
      <c r="B19" s="1040"/>
      <c r="C19" s="1032"/>
      <c r="D19" s="1036"/>
      <c r="E19" s="1032" t="s">
        <v>116</v>
      </c>
      <c r="F19" s="1041" t="s">
        <v>541</v>
      </c>
      <c r="G19" s="1042">
        <v>0</v>
      </c>
      <c r="H19" s="1043">
        <v>0</v>
      </c>
      <c r="I19" s="1042">
        <v>72.817665034855338</v>
      </c>
      <c r="J19" s="1043">
        <v>88.045253901895236</v>
      </c>
      <c r="K19" s="1044"/>
    </row>
    <row r="20" spans="2:11" ht="15" customHeight="1">
      <c r="B20" s="1040"/>
      <c r="C20" s="1032"/>
      <c r="D20" s="1036"/>
      <c r="E20" s="1032" t="s">
        <v>117</v>
      </c>
      <c r="F20" s="1041" t="s">
        <v>541</v>
      </c>
      <c r="G20" s="1042">
        <v>72.817665034855338</v>
      </c>
      <c r="H20" s="1043">
        <v>88.045253901895236</v>
      </c>
      <c r="I20" s="1042">
        <v>72.817665034855338</v>
      </c>
      <c r="J20" s="1043">
        <v>88.045253901895236</v>
      </c>
      <c r="K20" s="1044"/>
    </row>
    <row r="21" spans="2:11" ht="15" customHeight="1">
      <c r="B21" s="1040"/>
      <c r="C21" s="1032"/>
      <c r="D21" s="1036"/>
      <c r="E21" s="1032" t="s">
        <v>118</v>
      </c>
      <c r="F21" s="1041" t="s">
        <v>541</v>
      </c>
      <c r="G21" s="1042">
        <v>0</v>
      </c>
      <c r="H21" s="1043">
        <v>0</v>
      </c>
      <c r="I21" s="1042">
        <v>72.817665034855338</v>
      </c>
      <c r="J21" s="1043">
        <v>88.045253901895236</v>
      </c>
      <c r="K21" s="1044"/>
    </row>
    <row r="22" spans="2:11" ht="15" customHeight="1">
      <c r="B22" s="1040"/>
      <c r="C22" s="1032"/>
      <c r="D22" s="1036"/>
      <c r="E22" s="1032" t="s">
        <v>119</v>
      </c>
      <c r="F22" s="1041" t="s">
        <v>542</v>
      </c>
      <c r="G22" s="1042">
        <v>0.87691534267270388</v>
      </c>
      <c r="H22" s="1043">
        <v>1.0602953824340386</v>
      </c>
      <c r="I22" s="1042">
        <v>0.87691534267270388</v>
      </c>
      <c r="J22" s="1043">
        <v>1.0602953824340386</v>
      </c>
      <c r="K22" s="1044"/>
    </row>
    <row r="23" spans="2:11" ht="15" customHeight="1">
      <c r="B23" s="1040"/>
      <c r="C23" s="1032"/>
      <c r="D23" s="1032"/>
      <c r="E23" s="1032"/>
      <c r="F23" s="1041"/>
      <c r="G23" s="1045"/>
      <c r="H23" s="1046"/>
      <c r="I23" s="1045"/>
      <c r="J23" s="1046"/>
    </row>
    <row r="24" spans="2:11" ht="15" customHeight="1">
      <c r="B24" s="1040"/>
      <c r="C24" s="1032"/>
      <c r="D24" s="1036" t="s">
        <v>120</v>
      </c>
      <c r="E24" s="1032"/>
      <c r="F24" s="1041"/>
      <c r="G24" s="1045"/>
      <c r="H24" s="1046"/>
      <c r="I24" s="1045"/>
      <c r="J24" s="1046"/>
    </row>
    <row r="25" spans="2:11" ht="15" customHeight="1">
      <c r="B25" s="1040"/>
      <c r="C25" s="1032"/>
      <c r="D25" s="1036"/>
      <c r="E25" s="1032" t="s">
        <v>121</v>
      </c>
      <c r="F25" s="1041" t="s">
        <v>542</v>
      </c>
      <c r="G25" s="1042">
        <v>6.5088981487094903</v>
      </c>
      <c r="H25" s="1043">
        <v>7.8700352428272735</v>
      </c>
      <c r="I25" s="1042">
        <v>6.5088981487094903</v>
      </c>
      <c r="J25" s="1043">
        <v>7.8700352428272735</v>
      </c>
      <c r="K25" s="1044"/>
    </row>
    <row r="26" spans="2:11" ht="15" customHeight="1">
      <c r="B26" s="1040"/>
      <c r="C26" s="1032"/>
      <c r="D26" s="1036"/>
      <c r="E26" s="1032" t="s">
        <v>122</v>
      </c>
      <c r="F26" s="1041" t="s">
        <v>542</v>
      </c>
      <c r="G26" s="1042">
        <v>6.4714115681814928</v>
      </c>
      <c r="H26" s="1043">
        <v>7.8247094898122382</v>
      </c>
      <c r="I26" s="1042">
        <v>6.4714115681814928</v>
      </c>
      <c r="J26" s="1043">
        <v>7.8247094898122382</v>
      </c>
      <c r="K26" s="1044"/>
    </row>
    <row r="27" spans="2:11" ht="15" customHeight="1">
      <c r="B27" s="1040"/>
      <c r="C27" s="1032"/>
      <c r="D27" s="1036"/>
      <c r="E27" s="1032" t="s">
        <v>123</v>
      </c>
      <c r="F27" s="1041" t="s">
        <v>542</v>
      </c>
      <c r="G27" s="1042">
        <v>6.5088981487094903</v>
      </c>
      <c r="H27" s="1043">
        <v>7.8700352428272735</v>
      </c>
      <c r="I27" s="1042">
        <v>6.5088981487094903</v>
      </c>
      <c r="J27" s="1043">
        <v>7.8700352428272735</v>
      </c>
      <c r="K27" s="1044"/>
    </row>
    <row r="28" spans="2:11" ht="15" customHeight="1">
      <c r="B28" s="1040"/>
      <c r="C28" s="1032"/>
      <c r="D28" s="1036"/>
      <c r="E28" s="1032" t="s">
        <v>124</v>
      </c>
      <c r="F28" s="1041" t="s">
        <v>542</v>
      </c>
      <c r="G28" s="1042">
        <v>4.2350152700306758</v>
      </c>
      <c r="H28" s="1043">
        <v>5.1206392645214951</v>
      </c>
      <c r="I28" s="1042">
        <v>4.2350152700306758</v>
      </c>
      <c r="J28" s="1043">
        <v>5.1206392645214951</v>
      </c>
      <c r="K28" s="1044"/>
    </row>
    <row r="29" spans="2:11" ht="15" customHeight="1">
      <c r="B29" s="1040"/>
      <c r="C29" s="1032"/>
      <c r="D29" s="1036"/>
      <c r="E29" s="1032" t="s">
        <v>125</v>
      </c>
      <c r="F29" s="1041" t="s">
        <v>542</v>
      </c>
      <c r="G29" s="1047"/>
      <c r="H29" s="1048"/>
      <c r="I29" s="1047"/>
      <c r="J29" s="1048"/>
    </row>
    <row r="30" spans="2:11" ht="15" customHeight="1">
      <c r="B30" s="1040"/>
      <c r="C30" s="1032"/>
      <c r="D30" s="1036"/>
      <c r="E30" s="1032" t="s">
        <v>126</v>
      </c>
      <c r="F30" s="1041" t="s">
        <v>542</v>
      </c>
      <c r="G30" s="1047"/>
      <c r="H30" s="1048"/>
      <c r="I30" s="1047"/>
      <c r="J30" s="1048"/>
    </row>
    <row r="31" spans="2:11" ht="15" customHeight="1" thickBot="1">
      <c r="B31" s="1049"/>
      <c r="C31" s="1050"/>
      <c r="D31" s="1050"/>
      <c r="E31" s="1050"/>
      <c r="F31" s="1051"/>
      <c r="G31" s="1052"/>
      <c r="H31" s="1053"/>
      <c r="I31" s="1052"/>
      <c r="J31" s="1053"/>
    </row>
    <row r="32" spans="2:11" ht="15" customHeight="1">
      <c r="B32" s="1054"/>
      <c r="C32" s="1055" t="s">
        <v>127</v>
      </c>
      <c r="D32" s="1055"/>
      <c r="E32" s="1056"/>
      <c r="F32" s="1057"/>
      <c r="G32" s="1045"/>
      <c r="H32" s="1046"/>
      <c r="I32" s="1045"/>
      <c r="J32" s="1046"/>
    </row>
    <row r="33" spans="2:11" ht="15" customHeight="1">
      <c r="B33" s="1040"/>
      <c r="C33" s="1032"/>
      <c r="D33" s="1036" t="s">
        <v>454</v>
      </c>
      <c r="E33" s="1032"/>
      <c r="F33" s="1057"/>
      <c r="G33" s="1045"/>
      <c r="H33" s="1046"/>
      <c r="I33" s="1045"/>
      <c r="J33" s="1046"/>
    </row>
    <row r="34" spans="2:11" ht="15" customHeight="1">
      <c r="B34" s="1040"/>
      <c r="C34" s="1032"/>
      <c r="D34" s="1036"/>
      <c r="E34" s="1032" t="s">
        <v>128</v>
      </c>
      <c r="F34" s="1041" t="s">
        <v>541</v>
      </c>
      <c r="G34" s="1042">
        <v>14.132602725946677</v>
      </c>
      <c r="H34" s="1043">
        <v>17.530008371711197</v>
      </c>
      <c r="I34" s="1042">
        <v>9.6011821101352464</v>
      </c>
      <c r="J34" s="1043">
        <v>11.909257341536181</v>
      </c>
      <c r="K34" s="1044"/>
    </row>
    <row r="35" spans="2:11" ht="15" customHeight="1">
      <c r="B35" s="1040"/>
      <c r="C35" s="1032"/>
      <c r="D35" s="1036"/>
      <c r="E35" s="1032" t="s">
        <v>129</v>
      </c>
      <c r="F35" s="1041" t="s">
        <v>541</v>
      </c>
      <c r="G35" s="1042">
        <v>14.132602725946677</v>
      </c>
      <c r="H35" s="1043">
        <v>17.530008371711197</v>
      </c>
      <c r="I35" s="1042">
        <v>17.907680097032131</v>
      </c>
      <c r="J35" s="1043">
        <v>22.212595097048638</v>
      </c>
      <c r="K35" s="1044"/>
    </row>
    <row r="36" spans="2:11" ht="15" customHeight="1">
      <c r="B36" s="1040"/>
      <c r="C36" s="1032"/>
      <c r="D36" s="1032"/>
      <c r="E36" s="1032" t="s">
        <v>130</v>
      </c>
      <c r="F36" s="1041" t="s">
        <v>541</v>
      </c>
      <c r="G36" s="1042">
        <v>0</v>
      </c>
      <c r="H36" s="1043">
        <v>0</v>
      </c>
      <c r="I36" s="1042">
        <v>0</v>
      </c>
      <c r="J36" s="1043">
        <v>0</v>
      </c>
      <c r="K36" s="1044"/>
    </row>
    <row r="37" spans="2:11" ht="15" customHeight="1">
      <c r="B37" s="1040"/>
      <c r="C37" s="1032"/>
      <c r="D37" s="1032"/>
      <c r="E37" s="1032" t="s">
        <v>131</v>
      </c>
      <c r="F37" s="1041" t="s">
        <v>541</v>
      </c>
      <c r="G37" s="1042">
        <v>0</v>
      </c>
      <c r="H37" s="1043">
        <v>0</v>
      </c>
      <c r="I37" s="1042">
        <v>0</v>
      </c>
      <c r="J37" s="1043">
        <v>0</v>
      </c>
      <c r="K37" s="1044"/>
    </row>
    <row r="38" spans="2:11" ht="15" customHeight="1">
      <c r="B38" s="1040"/>
      <c r="C38" s="1032"/>
      <c r="D38" s="1032"/>
      <c r="E38" s="1032"/>
      <c r="F38" s="1041"/>
      <c r="G38" s="1045"/>
      <c r="H38" s="1046"/>
      <c r="I38" s="1045"/>
      <c r="J38" s="1046"/>
    </row>
    <row r="39" spans="2:11" ht="15" customHeight="1">
      <c r="B39" s="1040"/>
      <c r="C39" s="1032"/>
      <c r="D39" s="1036" t="s">
        <v>113</v>
      </c>
      <c r="E39" s="1032"/>
      <c r="F39" s="1041"/>
      <c r="G39" s="1045"/>
      <c r="H39" s="1046"/>
      <c r="I39" s="1045"/>
      <c r="J39" s="1046"/>
    </row>
    <row r="40" spans="2:11" ht="15" customHeight="1">
      <c r="B40" s="1040"/>
      <c r="C40" s="1032"/>
      <c r="D40" s="1056"/>
      <c r="E40" s="1032" t="s">
        <v>132</v>
      </c>
      <c r="F40" s="1041" t="s">
        <v>542</v>
      </c>
      <c r="G40" s="1042">
        <v>1.2847820659951523</v>
      </c>
      <c r="H40" s="1043">
        <v>1.5936371247010181</v>
      </c>
      <c r="I40" s="1042">
        <v>2.4233493268542539</v>
      </c>
      <c r="J40" s="1043">
        <v>3.0059101505303327</v>
      </c>
      <c r="K40" s="1044"/>
    </row>
    <row r="41" spans="2:11" ht="15" customHeight="1">
      <c r="B41" s="1040"/>
      <c r="C41" s="1032"/>
      <c r="D41" s="1036"/>
      <c r="E41" s="1032" t="s">
        <v>133</v>
      </c>
      <c r="F41" s="1041" t="s">
        <v>542</v>
      </c>
      <c r="G41" s="1042">
        <v>0</v>
      </c>
      <c r="H41" s="1043">
        <v>0</v>
      </c>
      <c r="I41" s="1042">
        <v>0</v>
      </c>
      <c r="J41" s="1043">
        <v>0</v>
      </c>
      <c r="K41" s="1044"/>
    </row>
    <row r="42" spans="2:11" ht="15" customHeight="1">
      <c r="B42" s="1040"/>
      <c r="C42" s="1032"/>
      <c r="D42" s="1032"/>
      <c r="E42" s="1032"/>
      <c r="F42" s="1041"/>
      <c r="G42" s="1045"/>
      <c r="H42" s="1046"/>
      <c r="I42" s="1045"/>
      <c r="J42" s="1046"/>
    </row>
    <row r="43" spans="2:11" ht="15" customHeight="1">
      <c r="B43" s="1040"/>
      <c r="C43" s="1032"/>
      <c r="D43" s="1036" t="s">
        <v>134</v>
      </c>
      <c r="E43" s="1032"/>
      <c r="F43" s="1041"/>
      <c r="G43" s="1045"/>
      <c r="H43" s="1046"/>
      <c r="I43" s="1045"/>
      <c r="J43" s="1046"/>
    </row>
    <row r="44" spans="2:11" ht="15" customHeight="1">
      <c r="B44" s="1040"/>
      <c r="C44" s="1032"/>
      <c r="D44" s="1036"/>
      <c r="E44" s="1032" t="s">
        <v>135</v>
      </c>
      <c r="F44" s="1041" t="s">
        <v>541</v>
      </c>
      <c r="G44" s="1042">
        <v>93.556450417646516</v>
      </c>
      <c r="H44" s="1043">
        <v>116.046944137041</v>
      </c>
      <c r="I44" s="1042">
        <v>93.556450417646516</v>
      </c>
      <c r="J44" s="1043">
        <v>116.046944137041</v>
      </c>
      <c r="K44" s="1044"/>
    </row>
    <row r="45" spans="2:11" ht="15" customHeight="1">
      <c r="B45" s="1040"/>
      <c r="C45" s="1032"/>
      <c r="D45" s="1036"/>
      <c r="E45" s="1032" t="s">
        <v>136</v>
      </c>
      <c r="F45" s="1041" t="s">
        <v>541</v>
      </c>
      <c r="G45" s="1042">
        <v>0</v>
      </c>
      <c r="H45" s="1043">
        <v>0</v>
      </c>
      <c r="I45" s="1042">
        <v>0</v>
      </c>
      <c r="J45" s="1043">
        <v>0</v>
      </c>
      <c r="K45" s="1044"/>
    </row>
    <row r="46" spans="2:11" ht="15" customHeight="1">
      <c r="B46" s="1040"/>
      <c r="C46" s="1032"/>
      <c r="D46" s="1036"/>
      <c r="E46" s="1032"/>
      <c r="F46" s="1041"/>
      <c r="G46" s="1045"/>
      <c r="H46" s="1046"/>
      <c r="I46" s="1045"/>
      <c r="J46" s="1046"/>
    </row>
    <row r="47" spans="2:11" ht="15" customHeight="1">
      <c r="B47" s="1040"/>
      <c r="C47" s="1032"/>
      <c r="D47" s="1036" t="s">
        <v>137</v>
      </c>
      <c r="E47" s="1032"/>
      <c r="F47" s="1041"/>
      <c r="G47" s="1045"/>
      <c r="H47" s="1046"/>
      <c r="I47" s="1045"/>
      <c r="J47" s="1046"/>
    </row>
    <row r="48" spans="2:11" ht="15" customHeight="1">
      <c r="B48" s="1040"/>
      <c r="C48" s="1032"/>
      <c r="D48" s="1036"/>
      <c r="E48" s="1032" t="s">
        <v>138</v>
      </c>
      <c r="F48" s="1041" t="s">
        <v>541</v>
      </c>
      <c r="G48" s="1042">
        <v>0</v>
      </c>
      <c r="H48" s="1043">
        <v>0</v>
      </c>
      <c r="I48" s="1042">
        <v>0</v>
      </c>
      <c r="J48" s="1043">
        <v>0</v>
      </c>
      <c r="K48" s="1044"/>
    </row>
    <row r="49" spans="2:11" ht="15" customHeight="1">
      <c r="B49" s="1040"/>
      <c r="C49" s="1032"/>
      <c r="D49" s="1036"/>
      <c r="E49" s="1032"/>
      <c r="F49" s="1041"/>
      <c r="G49" s="1045"/>
      <c r="H49" s="1046"/>
      <c r="I49" s="1045"/>
      <c r="J49" s="1046"/>
    </row>
    <row r="50" spans="2:11" ht="15" customHeight="1">
      <c r="B50" s="1040"/>
      <c r="C50" s="1032"/>
      <c r="D50" s="1036" t="s">
        <v>120</v>
      </c>
      <c r="E50" s="1032"/>
      <c r="F50" s="1041"/>
      <c r="G50" s="1045"/>
      <c r="H50" s="1046"/>
      <c r="I50" s="1045"/>
      <c r="J50" s="1046"/>
    </row>
    <row r="51" spans="2:11" ht="15" customHeight="1">
      <c r="B51" s="1040"/>
      <c r="C51" s="1032"/>
      <c r="D51" s="1036"/>
      <c r="E51" s="1032" t="s">
        <v>139</v>
      </c>
      <c r="F51" s="1041" t="s">
        <v>542</v>
      </c>
      <c r="G51" s="1042">
        <v>12.114933500267137</v>
      </c>
      <c r="H51" s="1043">
        <v>15.027301750476497</v>
      </c>
      <c r="I51" s="1042">
        <v>12.809520836898965</v>
      </c>
      <c r="J51" s="1043">
        <v>15.888864341752473</v>
      </c>
      <c r="K51" s="1044"/>
    </row>
    <row r="52" spans="2:11" ht="15" customHeight="1">
      <c r="B52" s="1040"/>
      <c r="C52" s="1032"/>
      <c r="D52" s="1036"/>
      <c r="E52" s="1032" t="s">
        <v>140</v>
      </c>
      <c r="F52" s="1041" t="s">
        <v>542</v>
      </c>
      <c r="G52" s="1042">
        <v>30.414358945612097</v>
      </c>
      <c r="H52" s="1043">
        <v>37.725815780411772</v>
      </c>
      <c r="I52" s="1042">
        <v>33.456810129199376</v>
      </c>
      <c r="J52" s="1043">
        <v>41.499656717784823</v>
      </c>
      <c r="K52" s="1044"/>
    </row>
    <row r="53" spans="2:11" ht="15" customHeight="1">
      <c r="B53" s="1040"/>
      <c r="C53" s="1032"/>
      <c r="D53" s="1036"/>
      <c r="E53" s="1032" t="s">
        <v>141</v>
      </c>
      <c r="F53" s="1041" t="s">
        <v>542</v>
      </c>
      <c r="G53" s="1042">
        <v>3.3969113308443308</v>
      </c>
      <c r="H53" s="1043">
        <v>4.2135114969541414</v>
      </c>
      <c r="I53" s="1042">
        <v>4.0914986674761602</v>
      </c>
      <c r="J53" s="1043">
        <v>5.0750740882301191</v>
      </c>
      <c r="K53" s="1044"/>
    </row>
    <row r="54" spans="2:11" ht="15" customHeight="1">
      <c r="B54" s="1040"/>
      <c r="C54" s="1032"/>
      <c r="D54" s="1036"/>
      <c r="E54" s="1032" t="s">
        <v>142</v>
      </c>
      <c r="F54" s="1041" t="s">
        <v>542</v>
      </c>
      <c r="G54" s="1042">
        <v>9.0962963456375672</v>
      </c>
      <c r="H54" s="1043">
        <v>11.282999613216058</v>
      </c>
      <c r="I54" s="1042">
        <v>9.0962963456375672</v>
      </c>
      <c r="J54" s="1043">
        <v>11.282999613216058</v>
      </c>
      <c r="K54" s="1044"/>
    </row>
    <row r="55" spans="2:11" ht="15" customHeight="1">
      <c r="B55" s="1040"/>
      <c r="C55" s="1032"/>
      <c r="D55" s="1036"/>
      <c r="E55" s="1032" t="s">
        <v>143</v>
      </c>
      <c r="F55" s="1041" t="s">
        <v>542</v>
      </c>
      <c r="G55" s="1042">
        <v>15.77625356925984</v>
      </c>
      <c r="H55" s="1043">
        <v>19.56878449824524</v>
      </c>
      <c r="I55" s="1042">
        <v>15.77625356925984</v>
      </c>
      <c r="J55" s="1043">
        <v>19.56878449824524</v>
      </c>
      <c r="K55" s="1044"/>
    </row>
    <row r="56" spans="2:11" ht="15" customHeight="1">
      <c r="B56" s="1040"/>
      <c r="C56" s="1032"/>
      <c r="D56" s="1036"/>
      <c r="E56" s="1032" t="s">
        <v>144</v>
      </c>
      <c r="F56" s="1041" t="s">
        <v>542</v>
      </c>
      <c r="G56" s="1047"/>
      <c r="H56" s="1048"/>
      <c r="I56" s="1047"/>
      <c r="J56" s="1048"/>
    </row>
    <row r="57" spans="2:11" ht="15" customHeight="1">
      <c r="B57" s="1040"/>
      <c r="C57" s="1032"/>
      <c r="D57" s="1036"/>
      <c r="E57" s="1032" t="s">
        <v>145</v>
      </c>
      <c r="F57" s="1041" t="s">
        <v>542</v>
      </c>
      <c r="G57" s="1047"/>
      <c r="H57" s="1048"/>
      <c r="I57" s="1047"/>
      <c r="J57" s="1048"/>
    </row>
    <row r="58" spans="2:11" ht="15" customHeight="1">
      <c r="B58" s="1040"/>
      <c r="C58" s="1032"/>
      <c r="D58" s="1032"/>
      <c r="E58" s="1032" t="s">
        <v>146</v>
      </c>
      <c r="F58" s="1041" t="s">
        <v>542</v>
      </c>
      <c r="G58" s="1042">
        <v>0</v>
      </c>
      <c r="H58" s="1043">
        <v>0</v>
      </c>
      <c r="I58" s="1042">
        <v>0</v>
      </c>
      <c r="J58" s="1043">
        <v>0</v>
      </c>
      <c r="K58" s="1044"/>
    </row>
    <row r="59" spans="2:11" ht="15" customHeight="1">
      <c r="B59" s="1040"/>
      <c r="C59" s="1032"/>
      <c r="D59" s="1032"/>
      <c r="E59" s="1032" t="s">
        <v>147</v>
      </c>
      <c r="F59" s="1041" t="s">
        <v>542</v>
      </c>
      <c r="G59" s="1042">
        <v>0</v>
      </c>
      <c r="H59" s="1043">
        <v>0</v>
      </c>
      <c r="I59" s="1042">
        <v>0</v>
      </c>
      <c r="J59" s="1043">
        <v>0</v>
      </c>
      <c r="K59" s="1044"/>
    </row>
    <row r="60" spans="2:11" ht="15" customHeight="1">
      <c r="B60" s="1040"/>
      <c r="C60" s="1032"/>
      <c r="D60" s="1036"/>
      <c r="E60" s="1032" t="s">
        <v>148</v>
      </c>
      <c r="F60" s="1041" t="s">
        <v>542</v>
      </c>
      <c r="G60" s="1042">
        <v>0</v>
      </c>
      <c r="H60" s="1043">
        <v>0</v>
      </c>
      <c r="I60" s="1042">
        <v>0</v>
      </c>
      <c r="J60" s="1043">
        <v>0</v>
      </c>
      <c r="K60" s="1044"/>
    </row>
    <row r="61" spans="2:11" ht="15" customHeight="1">
      <c r="B61" s="1040"/>
      <c r="C61" s="1032"/>
      <c r="D61" s="1036"/>
      <c r="E61" s="1032" t="s">
        <v>149</v>
      </c>
      <c r="F61" s="1041" t="s">
        <v>542</v>
      </c>
      <c r="G61" s="1042">
        <v>0</v>
      </c>
      <c r="H61" s="1043">
        <v>0</v>
      </c>
      <c r="I61" s="1042">
        <v>0</v>
      </c>
      <c r="J61" s="1043">
        <v>0</v>
      </c>
      <c r="K61" s="1044"/>
    </row>
    <row r="62" spans="2:11" ht="15" customHeight="1">
      <c r="B62" s="1040"/>
      <c r="C62" s="1032"/>
      <c r="D62" s="1036"/>
      <c r="E62" s="1032" t="s">
        <v>150</v>
      </c>
      <c r="F62" s="1041" t="s">
        <v>542</v>
      </c>
      <c r="G62" s="1042">
        <v>0</v>
      </c>
      <c r="H62" s="1043">
        <v>0</v>
      </c>
      <c r="I62" s="1042">
        <v>0</v>
      </c>
      <c r="J62" s="1043">
        <v>0</v>
      </c>
      <c r="K62" s="1044"/>
    </row>
    <row r="63" spans="2:11" ht="15" customHeight="1">
      <c r="B63" s="1040"/>
      <c r="C63" s="1032"/>
      <c r="D63" s="1036"/>
      <c r="E63" s="1032" t="s">
        <v>151</v>
      </c>
      <c r="F63" s="1041" t="s">
        <v>542</v>
      </c>
      <c r="G63" s="1047"/>
      <c r="H63" s="1048"/>
      <c r="I63" s="1047"/>
      <c r="J63" s="1048"/>
    </row>
    <row r="64" spans="2:11" ht="15" customHeight="1">
      <c r="B64" s="1040"/>
      <c r="C64" s="1032"/>
      <c r="D64" s="1036"/>
      <c r="E64" s="1032" t="s">
        <v>152</v>
      </c>
      <c r="F64" s="1041" t="s">
        <v>542</v>
      </c>
      <c r="G64" s="1047"/>
      <c r="H64" s="1048"/>
      <c r="I64" s="1047"/>
      <c r="J64" s="1048"/>
    </row>
    <row r="65" spans="2:11" ht="15" customHeight="1">
      <c r="B65" s="1040"/>
      <c r="C65" s="1032"/>
      <c r="D65" s="1036"/>
      <c r="E65" s="1032"/>
      <c r="F65" s="1057"/>
      <c r="G65" s="1045"/>
      <c r="H65" s="1046"/>
      <c r="I65" s="1045"/>
      <c r="J65" s="1046"/>
    </row>
    <row r="66" spans="2:11" ht="15" customHeight="1">
      <c r="B66" s="1040"/>
      <c r="C66" s="1032"/>
      <c r="D66" s="1036" t="s">
        <v>153</v>
      </c>
      <c r="E66" s="1032"/>
      <c r="F66" s="1057"/>
      <c r="G66" s="1045"/>
      <c r="H66" s="1046"/>
      <c r="I66" s="1045"/>
      <c r="J66" s="1046"/>
    </row>
    <row r="67" spans="2:11" ht="15" customHeight="1">
      <c r="B67" s="1040"/>
      <c r="C67" s="1032"/>
      <c r="D67" s="1036"/>
      <c r="E67" s="1032" t="s">
        <v>154</v>
      </c>
      <c r="F67" s="1041" t="s">
        <v>542</v>
      </c>
      <c r="G67" s="1042">
        <v>3.5882043241320836</v>
      </c>
      <c r="H67" s="1043">
        <v>4.4507903505956872</v>
      </c>
      <c r="I67" s="1042">
        <v>3.5882043241320836</v>
      </c>
      <c r="J67" s="1043">
        <v>4.4507903505956872</v>
      </c>
      <c r="K67" s="1044"/>
    </row>
    <row r="68" spans="2:11" ht="15" customHeight="1">
      <c r="B68" s="1040"/>
      <c r="C68" s="1032"/>
      <c r="D68" s="1036"/>
      <c r="E68" s="1032" t="s">
        <v>155</v>
      </c>
      <c r="F68" s="1041" t="s">
        <v>542</v>
      </c>
      <c r="G68" s="1042">
        <v>12.415221230192545</v>
      </c>
      <c r="H68" s="1043">
        <v>15.39977711977631</v>
      </c>
      <c r="I68" s="1042">
        <v>12.415221230192545</v>
      </c>
      <c r="J68" s="1043">
        <v>15.39977711977631</v>
      </c>
      <c r="K68" s="1044"/>
    </row>
    <row r="69" spans="2:11" ht="15" customHeight="1">
      <c r="B69" s="1040"/>
      <c r="C69" s="1032"/>
      <c r="D69" s="1036"/>
      <c r="E69" s="1032" t="s">
        <v>156</v>
      </c>
      <c r="F69" s="1041" t="s">
        <v>542</v>
      </c>
      <c r="G69" s="1042">
        <v>0</v>
      </c>
      <c r="H69" s="1043">
        <v>0</v>
      </c>
      <c r="I69" s="1042">
        <v>0</v>
      </c>
      <c r="J69" s="1043">
        <v>0</v>
      </c>
      <c r="K69" s="1044"/>
    </row>
    <row r="70" spans="2:11" ht="15" customHeight="1">
      <c r="B70" s="1040"/>
      <c r="C70" s="1032"/>
      <c r="D70" s="1036"/>
      <c r="E70" s="1032" t="s">
        <v>157</v>
      </c>
      <c r="F70" s="1041" t="s">
        <v>542</v>
      </c>
      <c r="G70" s="1042">
        <v>0</v>
      </c>
      <c r="H70" s="1043">
        <v>0</v>
      </c>
      <c r="I70" s="1042">
        <v>0</v>
      </c>
      <c r="J70" s="1043">
        <v>0</v>
      </c>
      <c r="K70" s="1044"/>
    </row>
    <row r="71" spans="2:11" ht="15" customHeight="1" thickBot="1">
      <c r="B71" s="1049"/>
      <c r="C71" s="1050"/>
      <c r="D71" s="1050"/>
      <c r="E71" s="1050"/>
      <c r="F71" s="1051"/>
      <c r="G71" s="1052"/>
      <c r="H71" s="1053"/>
      <c r="I71" s="1052"/>
      <c r="J71" s="1053"/>
    </row>
    <row r="72" spans="2:11" ht="15" customHeight="1">
      <c r="B72" s="1054"/>
      <c r="C72" s="1055" t="s">
        <v>158</v>
      </c>
      <c r="D72" s="1055"/>
      <c r="E72" s="1056"/>
      <c r="F72" s="1057"/>
      <c r="G72" s="1045"/>
      <c r="H72" s="1046"/>
      <c r="I72" s="1045"/>
      <c r="J72" s="1046"/>
    </row>
    <row r="73" spans="2:11" ht="15" customHeight="1">
      <c r="B73" s="1040"/>
      <c r="C73" s="1032"/>
      <c r="D73" s="1036" t="s">
        <v>454</v>
      </c>
      <c r="E73" s="1032"/>
      <c r="F73" s="1041"/>
      <c r="G73" s="1045"/>
      <c r="H73" s="1046"/>
      <c r="I73" s="1045"/>
      <c r="J73" s="1046"/>
    </row>
    <row r="74" spans="2:11" ht="15" customHeight="1">
      <c r="B74" s="1040"/>
      <c r="C74" s="1032"/>
      <c r="D74" s="1032"/>
      <c r="E74" s="1032" t="s">
        <v>159</v>
      </c>
      <c r="F74" s="1041" t="s">
        <v>541</v>
      </c>
      <c r="G74" s="1042">
        <v>17.225199202762926</v>
      </c>
      <c r="H74" s="1043">
        <v>20.660793122326037</v>
      </c>
      <c r="I74" s="1042">
        <v>19.484490163559229</v>
      </c>
      <c r="J74" s="1043">
        <v>23.370703329731139</v>
      </c>
      <c r="K74" s="1044"/>
    </row>
    <row r="75" spans="2:11" ht="15" customHeight="1">
      <c r="B75" s="1040"/>
      <c r="C75" s="1032"/>
      <c r="D75" s="1036"/>
      <c r="E75" s="1032" t="s">
        <v>160</v>
      </c>
      <c r="F75" s="1041" t="s">
        <v>541</v>
      </c>
      <c r="G75" s="1042">
        <v>60.80629881075955</v>
      </c>
      <c r="H75" s="1043">
        <v>72.934213733907384</v>
      </c>
      <c r="I75" s="1042">
        <v>60.80629881075955</v>
      </c>
      <c r="J75" s="1043">
        <v>72.934213733907384</v>
      </c>
      <c r="K75" s="1044"/>
    </row>
    <row r="76" spans="2:11" ht="15" customHeight="1">
      <c r="B76" s="1040"/>
      <c r="C76" s="1032"/>
      <c r="D76" s="1036"/>
      <c r="E76" s="1032" t="s">
        <v>161</v>
      </c>
      <c r="F76" s="1041" t="s">
        <v>541</v>
      </c>
      <c r="G76" s="1042">
        <v>0</v>
      </c>
      <c r="H76" s="1043">
        <v>0</v>
      </c>
      <c r="I76" s="1042">
        <v>0</v>
      </c>
      <c r="J76" s="1043">
        <v>0</v>
      </c>
      <c r="K76" s="1044"/>
    </row>
    <row r="77" spans="2:11" ht="15" customHeight="1">
      <c r="B77" s="1040"/>
      <c r="C77" s="1032"/>
      <c r="D77" s="1036"/>
      <c r="E77" s="1032" t="s">
        <v>162</v>
      </c>
      <c r="F77" s="1041" t="s">
        <v>541</v>
      </c>
      <c r="G77" s="1042">
        <v>0</v>
      </c>
      <c r="H77" s="1043">
        <v>0</v>
      </c>
      <c r="I77" s="1042">
        <v>0</v>
      </c>
      <c r="J77" s="1043">
        <v>0</v>
      </c>
      <c r="K77" s="1044"/>
    </row>
    <row r="78" spans="2:11" ht="15" customHeight="1">
      <c r="B78" s="1040"/>
      <c r="C78" s="1032"/>
      <c r="D78" s="1036"/>
      <c r="E78" s="1032"/>
      <c r="F78" s="1041"/>
      <c r="G78" s="1045"/>
      <c r="H78" s="1046"/>
      <c r="I78" s="1045"/>
      <c r="J78" s="1046"/>
    </row>
    <row r="79" spans="2:11" ht="15" customHeight="1">
      <c r="B79" s="1040"/>
      <c r="C79" s="1032"/>
      <c r="D79" s="1036" t="s">
        <v>113</v>
      </c>
      <c r="E79" s="1032"/>
      <c r="F79" s="1041"/>
      <c r="G79" s="1045"/>
      <c r="H79" s="1046"/>
      <c r="I79" s="1045"/>
      <c r="J79" s="1046"/>
    </row>
    <row r="80" spans="2:11" ht="15" customHeight="1">
      <c r="B80" s="1040"/>
      <c r="C80" s="1032"/>
      <c r="D80" s="1032"/>
      <c r="E80" s="1032" t="s">
        <v>163</v>
      </c>
      <c r="F80" s="1041" t="s">
        <v>542</v>
      </c>
      <c r="G80" s="1042">
        <v>4.4003501560958211</v>
      </c>
      <c r="H80" s="1043">
        <v>5.2780071319179926</v>
      </c>
      <c r="I80" s="1042">
        <v>4.9775087256414903</v>
      </c>
      <c r="J80" s="1043">
        <v>5.9702809142872546</v>
      </c>
      <c r="K80" s="1044"/>
    </row>
    <row r="81" spans="2:11" ht="15" customHeight="1">
      <c r="B81" s="1040"/>
      <c r="C81" s="1032"/>
      <c r="D81" s="1032"/>
      <c r="E81" s="1032" t="s">
        <v>164</v>
      </c>
      <c r="F81" s="1041" t="s">
        <v>542</v>
      </c>
      <c r="G81" s="1042">
        <v>32.431404942347598</v>
      </c>
      <c r="H81" s="1043">
        <v>38.89990126051768</v>
      </c>
      <c r="I81" s="1042">
        <v>32.431404942347598</v>
      </c>
      <c r="J81" s="1043">
        <v>38.89990126051768</v>
      </c>
      <c r="K81" s="1044"/>
    </row>
    <row r="82" spans="2:11" ht="15" customHeight="1">
      <c r="B82" s="1040"/>
      <c r="C82" s="1032"/>
      <c r="D82" s="1036"/>
      <c r="E82" s="1032" t="s">
        <v>165</v>
      </c>
      <c r="F82" s="1041" t="s">
        <v>542</v>
      </c>
      <c r="G82" s="1042">
        <v>0</v>
      </c>
      <c r="H82" s="1043">
        <v>0</v>
      </c>
      <c r="I82" s="1042">
        <v>0</v>
      </c>
      <c r="J82" s="1043">
        <v>0</v>
      </c>
      <c r="K82" s="1044"/>
    </row>
    <row r="83" spans="2:11" ht="15" customHeight="1">
      <c r="B83" s="1040"/>
      <c r="C83" s="1032"/>
      <c r="D83" s="1036"/>
      <c r="E83" s="1032" t="s">
        <v>166</v>
      </c>
      <c r="F83" s="1041" t="s">
        <v>542</v>
      </c>
      <c r="G83" s="1042">
        <v>0</v>
      </c>
      <c r="H83" s="1043">
        <v>0</v>
      </c>
      <c r="I83" s="1042">
        <v>0</v>
      </c>
      <c r="J83" s="1043">
        <v>0</v>
      </c>
      <c r="K83" s="1044"/>
    </row>
    <row r="84" spans="2:11" ht="15" customHeight="1">
      <c r="B84" s="1040"/>
      <c r="C84" s="1032"/>
      <c r="D84" s="1032"/>
      <c r="E84" s="1032"/>
      <c r="F84" s="1041"/>
      <c r="G84" s="1045"/>
      <c r="H84" s="1046"/>
      <c r="I84" s="1045"/>
      <c r="J84" s="1046"/>
    </row>
    <row r="85" spans="2:11" ht="15" customHeight="1">
      <c r="B85" s="1030"/>
      <c r="C85" s="1032"/>
      <c r="D85" s="1036" t="s">
        <v>134</v>
      </c>
      <c r="E85" s="1032"/>
      <c r="F85" s="1041"/>
      <c r="G85" s="1045"/>
      <c r="H85" s="1046"/>
      <c r="I85" s="1045"/>
      <c r="J85" s="1046"/>
    </row>
    <row r="86" spans="2:11" ht="15" customHeight="1">
      <c r="B86" s="1030"/>
      <c r="C86" s="1032"/>
      <c r="D86" s="1036"/>
      <c r="E86" s="1032" t="s">
        <v>167</v>
      </c>
      <c r="F86" s="1041" t="s">
        <v>541</v>
      </c>
      <c r="G86" s="1042">
        <v>264.72956762305722</v>
      </c>
      <c r="H86" s="1043">
        <v>317.53030926606021</v>
      </c>
      <c r="I86" s="1042">
        <v>264.72956762305722</v>
      </c>
      <c r="J86" s="1043">
        <v>317.53030926606021</v>
      </c>
      <c r="K86" s="1044"/>
    </row>
    <row r="87" spans="2:11" ht="15" customHeight="1">
      <c r="B87" s="1030"/>
      <c r="C87" s="1032"/>
      <c r="D87" s="1036"/>
      <c r="E87" s="1032" t="s">
        <v>168</v>
      </c>
      <c r="F87" s="1041" t="s">
        <v>541</v>
      </c>
      <c r="G87" s="1042">
        <v>0</v>
      </c>
      <c r="H87" s="1043">
        <v>0</v>
      </c>
      <c r="I87" s="1042">
        <v>264.72956762305722</v>
      </c>
      <c r="J87" s="1043">
        <v>317.53030926606021</v>
      </c>
      <c r="K87" s="1044"/>
    </row>
    <row r="88" spans="2:11" ht="15" customHeight="1">
      <c r="B88" s="1030"/>
      <c r="C88" s="1032"/>
      <c r="D88" s="1036"/>
      <c r="E88" s="1032" t="s">
        <v>169</v>
      </c>
      <c r="F88" s="1041" t="s">
        <v>541</v>
      </c>
      <c r="G88" s="1042">
        <v>0</v>
      </c>
      <c r="H88" s="1043">
        <v>0</v>
      </c>
      <c r="I88" s="1042">
        <v>264.72956762305722</v>
      </c>
      <c r="J88" s="1043">
        <v>317.53030926606021</v>
      </c>
      <c r="K88" s="1044"/>
    </row>
    <row r="89" spans="2:11" ht="15" customHeight="1">
      <c r="B89" s="1030"/>
      <c r="C89" s="1032"/>
      <c r="D89" s="1036"/>
      <c r="E89" s="1032" t="s">
        <v>170</v>
      </c>
      <c r="F89" s="1041" t="s">
        <v>541</v>
      </c>
      <c r="G89" s="1042">
        <v>0</v>
      </c>
      <c r="H89" s="1043">
        <v>0</v>
      </c>
      <c r="I89" s="1042">
        <v>0</v>
      </c>
      <c r="J89" s="1043">
        <v>0</v>
      </c>
      <c r="K89" s="1044"/>
    </row>
    <row r="90" spans="2:11" ht="15" customHeight="1">
      <c r="B90" s="1030"/>
      <c r="C90" s="1032"/>
      <c r="D90" s="1036"/>
      <c r="E90" s="1032" t="s">
        <v>171</v>
      </c>
      <c r="F90" s="1041" t="s">
        <v>541</v>
      </c>
      <c r="G90" s="1042">
        <v>0</v>
      </c>
      <c r="H90" s="1043">
        <v>0</v>
      </c>
      <c r="I90" s="1042">
        <v>0</v>
      </c>
      <c r="J90" s="1043">
        <v>0</v>
      </c>
      <c r="K90" s="1044"/>
    </row>
    <row r="91" spans="2:11" ht="15" customHeight="1">
      <c r="B91" s="1030"/>
      <c r="C91" s="1032"/>
      <c r="D91" s="1036"/>
      <c r="E91" s="1032" t="s">
        <v>172</v>
      </c>
      <c r="F91" s="1041" t="s">
        <v>541</v>
      </c>
      <c r="G91" s="1042">
        <v>0</v>
      </c>
      <c r="H91" s="1043">
        <v>0</v>
      </c>
      <c r="I91" s="1042">
        <v>0</v>
      </c>
      <c r="J91" s="1043">
        <v>0</v>
      </c>
      <c r="K91" s="1044"/>
    </row>
    <row r="92" spans="2:11" ht="15" customHeight="1">
      <c r="B92" s="1030"/>
      <c r="C92" s="1032"/>
      <c r="D92" s="1032"/>
      <c r="E92" s="1032"/>
      <c r="F92" s="1041"/>
      <c r="G92" s="1045"/>
      <c r="H92" s="1046"/>
      <c r="I92" s="1045"/>
      <c r="J92" s="1046"/>
    </row>
    <row r="93" spans="2:11" ht="15" customHeight="1">
      <c r="B93" s="1030"/>
      <c r="C93" s="1032"/>
      <c r="D93" s="1036" t="s">
        <v>137</v>
      </c>
      <c r="E93" s="1032"/>
      <c r="F93" s="1041"/>
      <c r="G93" s="1045"/>
      <c r="H93" s="1046"/>
      <c r="I93" s="1045"/>
      <c r="J93" s="1046"/>
    </row>
    <row r="94" spans="2:11" ht="15" customHeight="1">
      <c r="B94" s="1030"/>
      <c r="C94" s="1032"/>
      <c r="D94" s="1032"/>
      <c r="E94" s="1032" t="s">
        <v>173</v>
      </c>
      <c r="F94" s="1041" t="s">
        <v>541</v>
      </c>
      <c r="G94" s="1042">
        <v>0</v>
      </c>
      <c r="H94" s="1043">
        <v>0</v>
      </c>
      <c r="I94" s="1042">
        <v>0</v>
      </c>
      <c r="J94" s="1043">
        <v>0</v>
      </c>
      <c r="K94" s="1044"/>
    </row>
    <row r="95" spans="2:11" ht="15" customHeight="1">
      <c r="B95" s="1030"/>
      <c r="C95" s="1032"/>
      <c r="D95" s="1036"/>
      <c r="E95" s="1032"/>
      <c r="F95" s="1041"/>
      <c r="G95" s="1045"/>
      <c r="H95" s="1046"/>
      <c r="I95" s="1045"/>
      <c r="J95" s="1046"/>
    </row>
    <row r="96" spans="2:11" ht="15" customHeight="1">
      <c r="B96" s="1030"/>
      <c r="C96" s="1032"/>
      <c r="D96" s="1036" t="s">
        <v>120</v>
      </c>
      <c r="E96" s="1032"/>
      <c r="F96" s="1041"/>
      <c r="G96" s="1045"/>
      <c r="H96" s="1046"/>
      <c r="I96" s="1045"/>
      <c r="J96" s="1046"/>
    </row>
    <row r="97" spans="2:11" ht="15" customHeight="1">
      <c r="B97" s="1030"/>
      <c r="C97" s="1032"/>
      <c r="D97" s="1036"/>
      <c r="E97" s="1056" t="s">
        <v>174</v>
      </c>
      <c r="F97" s="1041" t="s">
        <v>542</v>
      </c>
      <c r="G97" s="1042">
        <v>92.334824191006817</v>
      </c>
      <c r="H97" s="1043">
        <v>110.75115463922994</v>
      </c>
      <c r="I97" s="1042">
        <v>92.334824191006817</v>
      </c>
      <c r="J97" s="1043">
        <v>110.75115463922994</v>
      </c>
      <c r="K97" s="1044"/>
    </row>
    <row r="98" spans="2:11" ht="15" customHeight="1">
      <c r="B98" s="1030"/>
      <c r="C98" s="1032"/>
      <c r="D98" s="1036"/>
      <c r="E98" s="1056" t="s">
        <v>175</v>
      </c>
      <c r="F98" s="1041" t="s">
        <v>542</v>
      </c>
      <c r="G98" s="1042">
        <v>92.334824191006817</v>
      </c>
      <c r="H98" s="1043">
        <v>110.75115463922994</v>
      </c>
      <c r="I98" s="1042">
        <v>92.334824191006817</v>
      </c>
      <c r="J98" s="1043">
        <v>110.75115463922994</v>
      </c>
      <c r="K98" s="1044"/>
    </row>
    <row r="99" spans="2:11" ht="15" customHeight="1">
      <c r="B99" s="1030"/>
      <c r="C99" s="1032"/>
      <c r="D99" s="1036"/>
      <c r="E99" s="1056" t="s">
        <v>176</v>
      </c>
      <c r="F99" s="1041" t="s">
        <v>542</v>
      </c>
      <c r="G99" s="1042">
        <v>0</v>
      </c>
      <c r="H99" s="1043">
        <v>0</v>
      </c>
      <c r="I99" s="1042">
        <v>0</v>
      </c>
      <c r="J99" s="1043">
        <v>0</v>
      </c>
      <c r="K99" s="1044"/>
    </row>
    <row r="100" spans="2:11" ht="15" customHeight="1">
      <c r="B100" s="1030"/>
      <c r="C100" s="1032"/>
      <c r="D100" s="1036"/>
      <c r="E100" s="1056" t="s">
        <v>177</v>
      </c>
      <c r="F100" s="1041" t="s">
        <v>542</v>
      </c>
      <c r="G100" s="1042">
        <v>0</v>
      </c>
      <c r="H100" s="1043">
        <v>0</v>
      </c>
      <c r="I100" s="1042">
        <v>0</v>
      </c>
      <c r="J100" s="1043">
        <v>0</v>
      </c>
      <c r="K100" s="1044"/>
    </row>
    <row r="101" spans="2:11" ht="15" customHeight="1">
      <c r="B101" s="1030"/>
      <c r="C101" s="1032"/>
      <c r="D101" s="1036"/>
      <c r="E101" s="1056" t="s">
        <v>178</v>
      </c>
      <c r="F101" s="1041" t="s">
        <v>542</v>
      </c>
      <c r="G101" s="1042">
        <v>0</v>
      </c>
      <c r="H101" s="1043">
        <v>0</v>
      </c>
      <c r="I101" s="1042">
        <v>0</v>
      </c>
      <c r="J101" s="1043">
        <v>0</v>
      </c>
      <c r="K101" s="1044"/>
    </row>
    <row r="102" spans="2:11" ht="15" customHeight="1">
      <c r="B102" s="1030"/>
      <c r="C102" s="1032"/>
      <c r="D102" s="1036"/>
      <c r="E102" s="1056" t="s">
        <v>179</v>
      </c>
      <c r="F102" s="1041" t="s">
        <v>542</v>
      </c>
      <c r="G102" s="1047"/>
      <c r="H102" s="1048"/>
      <c r="I102" s="1047"/>
      <c r="J102" s="1048"/>
    </row>
    <row r="103" spans="2:11" ht="15" customHeight="1">
      <c r="B103" s="1030"/>
      <c r="C103" s="1032"/>
      <c r="D103" s="1036"/>
      <c r="E103" s="1056" t="s">
        <v>180</v>
      </c>
      <c r="F103" s="1041" t="s">
        <v>542</v>
      </c>
      <c r="G103" s="1042">
        <v>0</v>
      </c>
      <c r="H103" s="1043">
        <v>0</v>
      </c>
      <c r="I103" s="1042">
        <v>0</v>
      </c>
      <c r="J103" s="1043">
        <v>0</v>
      </c>
      <c r="K103" s="1044"/>
    </row>
    <row r="104" spans="2:11" ht="15" customHeight="1">
      <c r="B104" s="1030"/>
      <c r="C104" s="1032"/>
      <c r="D104" s="1036"/>
      <c r="E104" s="1056" t="s">
        <v>181</v>
      </c>
      <c r="F104" s="1041" t="s">
        <v>542</v>
      </c>
      <c r="G104" s="1047"/>
      <c r="H104" s="1048"/>
      <c r="I104" s="1047"/>
      <c r="J104" s="1048"/>
    </row>
    <row r="105" spans="2:11" ht="15" customHeight="1">
      <c r="B105" s="1030"/>
      <c r="C105" s="1032"/>
      <c r="D105" s="1036"/>
      <c r="E105" s="1032"/>
      <c r="F105" s="1041"/>
      <c r="G105" s="1045"/>
      <c r="H105" s="1046"/>
      <c r="I105" s="1045"/>
      <c r="J105" s="1046"/>
    </row>
    <row r="106" spans="2:11" ht="15" customHeight="1">
      <c r="B106" s="1030"/>
      <c r="C106" s="1032"/>
      <c r="D106" s="1036" t="s">
        <v>153</v>
      </c>
      <c r="E106" s="1032"/>
      <c r="F106" s="1041"/>
      <c r="G106" s="1045"/>
      <c r="H106" s="1046"/>
      <c r="I106" s="1045"/>
      <c r="J106" s="1046"/>
    </row>
    <row r="107" spans="2:11" ht="15" customHeight="1">
      <c r="B107" s="1030"/>
      <c r="C107" s="1032"/>
      <c r="D107" s="1032"/>
      <c r="E107" s="1056" t="s">
        <v>182</v>
      </c>
      <c r="F107" s="1041" t="s">
        <v>542</v>
      </c>
      <c r="G107" s="1042">
        <v>0</v>
      </c>
      <c r="H107" s="1043">
        <v>0</v>
      </c>
      <c r="I107" s="1042">
        <v>0</v>
      </c>
      <c r="J107" s="1043">
        <v>0</v>
      </c>
      <c r="K107" s="1044"/>
    </row>
    <row r="108" spans="2:11" ht="15" customHeight="1">
      <c r="B108" s="1030"/>
      <c r="C108" s="1032"/>
      <c r="D108" s="1032"/>
      <c r="E108" s="1056" t="s">
        <v>183</v>
      </c>
      <c r="F108" s="1041" t="s">
        <v>542</v>
      </c>
      <c r="G108" s="1042">
        <v>508.37488050920939</v>
      </c>
      <c r="H108" s="1043">
        <v>609.77107499013653</v>
      </c>
      <c r="I108" s="1042">
        <v>508.37488050920939</v>
      </c>
      <c r="J108" s="1043">
        <v>609.77107499013653</v>
      </c>
      <c r="K108" s="1044"/>
    </row>
    <row r="109" spans="2:11" ht="15" customHeight="1">
      <c r="B109" s="1030"/>
      <c r="C109" s="1032"/>
      <c r="D109" s="1032"/>
      <c r="E109" s="1032" t="s">
        <v>184</v>
      </c>
      <c r="F109" s="1041" t="s">
        <v>542</v>
      </c>
      <c r="G109" s="1047"/>
      <c r="H109" s="1048"/>
      <c r="I109" s="1047"/>
      <c r="J109" s="1048"/>
      <c r="K109" s="1044"/>
    </row>
    <row r="110" spans="2:11" ht="15" customHeight="1">
      <c r="B110" s="1030"/>
      <c r="C110" s="1032"/>
      <c r="D110" s="1032"/>
      <c r="E110" s="1056" t="s">
        <v>185</v>
      </c>
      <c r="F110" s="1041" t="s">
        <v>542</v>
      </c>
      <c r="G110" s="1042">
        <v>0</v>
      </c>
      <c r="H110" s="1043">
        <v>0</v>
      </c>
      <c r="I110" s="1042">
        <v>0</v>
      </c>
      <c r="J110" s="1043">
        <v>0</v>
      </c>
      <c r="K110" s="1044"/>
    </row>
    <row r="111" spans="2:11" ht="15" customHeight="1">
      <c r="B111" s="1030"/>
      <c r="C111" s="1032"/>
      <c r="D111" s="1036"/>
      <c r="E111" s="1032" t="s">
        <v>186</v>
      </c>
      <c r="F111" s="1041" t="s">
        <v>542</v>
      </c>
      <c r="G111" s="1047"/>
      <c r="H111" s="1048"/>
      <c r="I111" s="1047"/>
      <c r="J111" s="1048"/>
    </row>
    <row r="112" spans="2:11" ht="15" customHeight="1" thickBot="1">
      <c r="B112" s="1049"/>
      <c r="C112" s="1050"/>
      <c r="D112" s="1050"/>
      <c r="E112" s="1050"/>
      <c r="F112" s="1051"/>
      <c r="G112" s="1058"/>
      <c r="H112" s="1059"/>
      <c r="I112" s="1058"/>
      <c r="J112" s="1059"/>
    </row>
    <row r="113" spans="2:11" ht="15" customHeight="1">
      <c r="B113" s="1054"/>
      <c r="C113" s="1055" t="s">
        <v>187</v>
      </c>
      <c r="D113" s="1055"/>
      <c r="E113" s="1056"/>
      <c r="F113" s="1057"/>
      <c r="G113" s="1045"/>
      <c r="H113" s="1046"/>
      <c r="I113" s="1045"/>
      <c r="J113" s="1046"/>
    </row>
    <row r="114" spans="2:11" ht="15" customHeight="1">
      <c r="B114" s="1030"/>
      <c r="C114" s="1032"/>
      <c r="D114" s="1036" t="s">
        <v>454</v>
      </c>
      <c r="E114" s="1032"/>
      <c r="F114" s="1041"/>
      <c r="G114" s="1045"/>
      <c r="H114" s="1046"/>
      <c r="I114" s="1045"/>
      <c r="J114" s="1046"/>
    </row>
    <row r="115" spans="2:11" ht="15" customHeight="1">
      <c r="B115" s="1030"/>
      <c r="C115" s="1032"/>
      <c r="D115" s="1036"/>
      <c r="E115" s="1032" t="s">
        <v>188</v>
      </c>
      <c r="F115" s="1041" t="s">
        <v>541</v>
      </c>
      <c r="G115" s="1042">
        <v>0</v>
      </c>
      <c r="H115" s="1043">
        <v>0</v>
      </c>
      <c r="I115" s="1042">
        <v>0</v>
      </c>
      <c r="J115" s="1043">
        <v>0</v>
      </c>
      <c r="K115" s="1044"/>
    </row>
    <row r="116" spans="2:11" ht="15" customHeight="1">
      <c r="B116" s="1030"/>
      <c r="C116" s="1032"/>
      <c r="D116" s="1036"/>
      <c r="E116" s="1032" t="s">
        <v>189</v>
      </c>
      <c r="F116" s="1041" t="s">
        <v>541</v>
      </c>
      <c r="G116" s="1042">
        <v>96.326582911526842</v>
      </c>
      <c r="H116" s="1043">
        <v>114.42315755794955</v>
      </c>
      <c r="I116" s="1042">
        <v>96.326582911526842</v>
      </c>
      <c r="J116" s="1043">
        <v>114.42315755794955</v>
      </c>
      <c r="K116" s="1044"/>
    </row>
    <row r="117" spans="2:11" ht="15" customHeight="1">
      <c r="B117" s="1030"/>
      <c r="C117" s="1032"/>
      <c r="D117" s="1036"/>
      <c r="E117" s="1056"/>
      <c r="F117" s="1041"/>
      <c r="G117" s="1045"/>
      <c r="H117" s="1046"/>
      <c r="I117" s="1045"/>
      <c r="J117" s="1046"/>
    </row>
    <row r="118" spans="2:11" ht="15" customHeight="1">
      <c r="B118" s="1030"/>
      <c r="C118" s="1032"/>
      <c r="D118" s="1036" t="s">
        <v>113</v>
      </c>
      <c r="E118" s="1032"/>
      <c r="F118" s="1057"/>
      <c r="G118" s="1045"/>
      <c r="H118" s="1046"/>
      <c r="I118" s="1045"/>
      <c r="J118" s="1046"/>
    </row>
    <row r="119" spans="2:11" ht="15" customHeight="1">
      <c r="B119" s="1030"/>
      <c r="C119" s="1032"/>
      <c r="D119" s="1036"/>
      <c r="E119" s="1032" t="s">
        <v>190</v>
      </c>
      <c r="F119" s="1041" t="s">
        <v>542</v>
      </c>
      <c r="G119" s="1042">
        <v>0</v>
      </c>
      <c r="H119" s="1043">
        <v>0</v>
      </c>
      <c r="I119" s="1042">
        <v>0</v>
      </c>
      <c r="J119" s="1043">
        <v>0</v>
      </c>
      <c r="K119" s="1044"/>
    </row>
    <row r="120" spans="2:11" ht="15" customHeight="1">
      <c r="B120" s="1030"/>
      <c r="C120" s="1032"/>
      <c r="D120" s="1036"/>
      <c r="E120" s="1032" t="s">
        <v>191</v>
      </c>
      <c r="F120" s="1041" t="s">
        <v>542</v>
      </c>
      <c r="G120" s="1042">
        <v>44.057310213662277</v>
      </c>
      <c r="H120" s="1043">
        <v>52.334219649289459</v>
      </c>
      <c r="I120" s="1042">
        <v>44.057310213662277</v>
      </c>
      <c r="J120" s="1043">
        <v>52.334219649289459</v>
      </c>
      <c r="K120" s="1044"/>
    </row>
    <row r="121" spans="2:11" ht="15" customHeight="1">
      <c r="B121" s="1030"/>
      <c r="C121" s="1032"/>
      <c r="D121" s="1036"/>
      <c r="E121" s="1056" t="s">
        <v>192</v>
      </c>
      <c r="F121" s="1041" t="s">
        <v>542</v>
      </c>
      <c r="G121" s="1042">
        <v>5.9454501672416225</v>
      </c>
      <c r="H121" s="1043">
        <v>7.062403343675741</v>
      </c>
      <c r="I121" s="1042">
        <v>5.9454501672416225</v>
      </c>
      <c r="J121" s="1043">
        <v>7.062403343675741</v>
      </c>
      <c r="K121" s="1044"/>
    </row>
    <row r="122" spans="2:11" ht="15" customHeight="1">
      <c r="B122" s="1030"/>
      <c r="C122" s="1032"/>
      <c r="D122" s="1032"/>
      <c r="E122" s="1032"/>
      <c r="F122" s="1041"/>
      <c r="G122" s="1045"/>
      <c r="H122" s="1046"/>
      <c r="I122" s="1045"/>
      <c r="J122" s="1046"/>
    </row>
    <row r="123" spans="2:11" ht="15" customHeight="1">
      <c r="B123" s="1030"/>
      <c r="C123" s="1032"/>
      <c r="D123" s="1036" t="s">
        <v>134</v>
      </c>
      <c r="E123" s="1032"/>
      <c r="F123" s="1057"/>
      <c r="G123" s="1045"/>
      <c r="H123" s="1046"/>
      <c r="I123" s="1045"/>
      <c r="J123" s="1046"/>
    </row>
    <row r="124" spans="2:11" ht="15" customHeight="1">
      <c r="B124" s="1030"/>
      <c r="C124" s="1032"/>
      <c r="D124" s="1032"/>
      <c r="E124" s="1032" t="s">
        <v>193</v>
      </c>
      <c r="F124" s="1041" t="s">
        <v>541</v>
      </c>
      <c r="G124" s="1042">
        <v>845.29959787546204</v>
      </c>
      <c r="H124" s="1043">
        <v>1004.1033964654554</v>
      </c>
      <c r="I124" s="1042">
        <v>845.29959787546204</v>
      </c>
      <c r="J124" s="1043">
        <v>1004.1033964654554</v>
      </c>
      <c r="K124" s="1044"/>
    </row>
    <row r="125" spans="2:11" ht="15" customHeight="1">
      <c r="B125" s="1030"/>
      <c r="C125" s="1032"/>
      <c r="D125" s="1032"/>
      <c r="E125" s="1032" t="s">
        <v>194</v>
      </c>
      <c r="F125" s="1041" t="s">
        <v>541</v>
      </c>
      <c r="G125" s="1042">
        <v>0</v>
      </c>
      <c r="H125" s="1043">
        <v>0</v>
      </c>
      <c r="I125" s="1042">
        <v>845.29959787546204</v>
      </c>
      <c r="J125" s="1043">
        <v>1004.1033964654554</v>
      </c>
      <c r="K125" s="1044"/>
    </row>
    <row r="126" spans="2:11" ht="15" customHeight="1">
      <c r="B126" s="1030"/>
      <c r="C126" s="1032"/>
      <c r="D126" s="1032"/>
      <c r="E126" s="1032" t="s">
        <v>195</v>
      </c>
      <c r="F126" s="1041" t="s">
        <v>541</v>
      </c>
      <c r="G126" s="1042">
        <v>0</v>
      </c>
      <c r="H126" s="1043">
        <v>0</v>
      </c>
      <c r="I126" s="1042">
        <v>845.29959787546204</v>
      </c>
      <c r="J126" s="1043">
        <v>1004.1033964654554</v>
      </c>
      <c r="K126" s="1044"/>
    </row>
    <row r="127" spans="2:11" ht="15" customHeight="1">
      <c r="B127" s="1030"/>
      <c r="C127" s="1032"/>
      <c r="D127" s="1032"/>
      <c r="E127" s="1032"/>
      <c r="F127" s="1037"/>
      <c r="G127" s="1045"/>
      <c r="H127" s="1046"/>
      <c r="I127" s="1045"/>
      <c r="J127" s="1046"/>
    </row>
    <row r="128" spans="2:11" ht="15" customHeight="1">
      <c r="B128" s="1030"/>
      <c r="C128" s="1032"/>
      <c r="D128" s="1036" t="s">
        <v>137</v>
      </c>
      <c r="E128" s="1032"/>
      <c r="F128" s="1037"/>
      <c r="G128" s="1045"/>
      <c r="H128" s="1046"/>
      <c r="I128" s="1045"/>
      <c r="J128" s="1046"/>
    </row>
    <row r="129" spans="2:11" ht="15" customHeight="1">
      <c r="B129" s="1030"/>
      <c r="C129" s="1032"/>
      <c r="D129" s="1032"/>
      <c r="E129" s="1056" t="s">
        <v>196</v>
      </c>
      <c r="F129" s="1041" t="s">
        <v>541</v>
      </c>
      <c r="G129" s="1042">
        <v>0</v>
      </c>
      <c r="H129" s="1043">
        <v>0</v>
      </c>
      <c r="I129" s="1042">
        <v>0</v>
      </c>
      <c r="J129" s="1043">
        <v>0</v>
      </c>
      <c r="K129" s="1044"/>
    </row>
    <row r="130" spans="2:11" ht="15" customHeight="1">
      <c r="B130" s="1030"/>
      <c r="C130" s="1032"/>
      <c r="D130" s="1032"/>
      <c r="E130" s="1032"/>
      <c r="F130" s="1037"/>
      <c r="G130" s="1045"/>
      <c r="H130" s="1046"/>
      <c r="I130" s="1045"/>
      <c r="J130" s="1046"/>
    </row>
    <row r="131" spans="2:11" ht="15" customHeight="1">
      <c r="B131" s="1030"/>
      <c r="C131" s="1032"/>
      <c r="D131" s="1036" t="s">
        <v>120</v>
      </c>
      <c r="E131" s="1032"/>
      <c r="F131" s="1037"/>
      <c r="G131" s="1045"/>
      <c r="H131" s="1046"/>
      <c r="I131" s="1045"/>
      <c r="J131" s="1046"/>
    </row>
    <row r="132" spans="2:11" ht="15" customHeight="1">
      <c r="B132" s="1030"/>
      <c r="C132" s="1032"/>
      <c r="D132" s="1032"/>
      <c r="E132" s="1032" t="s">
        <v>197</v>
      </c>
      <c r="F132" s="1041" t="s">
        <v>542</v>
      </c>
      <c r="G132" s="1042">
        <v>958.39281408334182</v>
      </c>
      <c r="H132" s="1043">
        <v>1138.4430824146075</v>
      </c>
      <c r="I132" s="1042">
        <v>958.39281408334182</v>
      </c>
      <c r="J132" s="1043">
        <v>1138.4430824146075</v>
      </c>
      <c r="K132" s="1044"/>
    </row>
    <row r="133" spans="2:11" ht="15" customHeight="1">
      <c r="B133" s="1030"/>
      <c r="C133" s="1032"/>
      <c r="D133" s="1032"/>
      <c r="E133" s="1032" t="s">
        <v>198</v>
      </c>
      <c r="F133" s="1041" t="s">
        <v>542</v>
      </c>
      <c r="G133" s="1047"/>
      <c r="H133" s="1048"/>
      <c r="I133" s="1047"/>
      <c r="J133" s="1048"/>
    </row>
    <row r="134" spans="2:11" ht="15" customHeight="1">
      <c r="B134" s="1030"/>
      <c r="C134" s="1032"/>
      <c r="D134" s="1032"/>
      <c r="E134" s="1032"/>
      <c r="F134" s="1037"/>
      <c r="G134" s="1045"/>
      <c r="H134" s="1046"/>
      <c r="I134" s="1045"/>
      <c r="J134" s="1046"/>
    </row>
    <row r="135" spans="2:11" ht="15" customHeight="1">
      <c r="B135" s="1030"/>
      <c r="C135" s="1032"/>
      <c r="D135" s="1036" t="s">
        <v>153</v>
      </c>
      <c r="E135" s="1032"/>
      <c r="F135" s="1041"/>
      <c r="G135" s="1045"/>
      <c r="H135" s="1046"/>
      <c r="I135" s="1045"/>
      <c r="J135" s="1046"/>
    </row>
    <row r="136" spans="2:11" ht="15" customHeight="1">
      <c r="B136" s="1030"/>
      <c r="C136" s="1032"/>
      <c r="D136" s="1032"/>
      <c r="E136" s="1056" t="s">
        <v>199</v>
      </c>
      <c r="F136" s="1041" t="s">
        <v>542</v>
      </c>
      <c r="G136" s="1042">
        <v>1093.3506150355429</v>
      </c>
      <c r="H136" s="1043">
        <v>1298.7549844386983</v>
      </c>
      <c r="I136" s="1042">
        <v>1093.3506150355429</v>
      </c>
      <c r="J136" s="1043">
        <v>1298.7549844386983</v>
      </c>
      <c r="K136" s="1044"/>
    </row>
    <row r="137" spans="2:11" ht="15" customHeight="1">
      <c r="B137" s="1030"/>
      <c r="C137" s="1032"/>
      <c r="D137" s="1032"/>
      <c r="E137" s="1056" t="s">
        <v>200</v>
      </c>
      <c r="F137" s="1041" t="s">
        <v>542</v>
      </c>
      <c r="G137" s="1047"/>
      <c r="H137" s="1048"/>
      <c r="I137" s="1047"/>
      <c r="J137" s="1048"/>
    </row>
    <row r="138" spans="2:11" ht="15" customHeight="1" thickBot="1">
      <c r="B138" s="1049"/>
      <c r="C138" s="1050"/>
      <c r="D138" s="1050"/>
      <c r="E138" s="1050"/>
      <c r="F138" s="1051"/>
      <c r="G138" s="1058"/>
      <c r="H138" s="1059"/>
      <c r="I138" s="1058"/>
      <c r="J138" s="1059"/>
    </row>
    <row r="139" spans="2:11" ht="15" customHeight="1">
      <c r="B139" s="1054"/>
      <c r="C139" s="1055" t="s">
        <v>201</v>
      </c>
      <c r="D139" s="1055"/>
      <c r="E139" s="1056"/>
      <c r="F139" s="1057"/>
      <c r="G139" s="1045"/>
      <c r="H139" s="1046"/>
      <c r="I139" s="1045"/>
      <c r="J139" s="1046"/>
    </row>
    <row r="140" spans="2:11" ht="15" customHeight="1">
      <c r="B140" s="1030"/>
      <c r="C140" s="1032"/>
      <c r="D140" s="1036" t="s">
        <v>202</v>
      </c>
      <c r="E140" s="1032"/>
      <c r="F140" s="1041"/>
      <c r="G140" s="1045"/>
      <c r="H140" s="1046"/>
      <c r="I140" s="1045"/>
      <c r="J140" s="1046"/>
    </row>
    <row r="141" spans="2:11" ht="15" customHeight="1">
      <c r="B141" s="1030"/>
      <c r="C141" s="1032"/>
      <c r="D141" s="1032"/>
      <c r="E141" s="1056" t="s">
        <v>203</v>
      </c>
      <c r="F141" s="1041" t="s">
        <v>542</v>
      </c>
      <c r="G141" s="1047"/>
      <c r="H141" s="1048"/>
      <c r="I141" s="1047"/>
      <c r="J141" s="1048"/>
    </row>
    <row r="142" spans="2:11" ht="15" customHeight="1">
      <c r="B142" s="1030"/>
      <c r="C142" s="1032"/>
      <c r="D142" s="1032"/>
      <c r="E142" s="1056" t="s">
        <v>204</v>
      </c>
      <c r="F142" s="1041" t="s">
        <v>542</v>
      </c>
      <c r="G142" s="1047"/>
      <c r="H142" s="1048"/>
      <c r="I142" s="1047"/>
      <c r="J142" s="1048"/>
    </row>
    <row r="143" spans="2:11" ht="15" customHeight="1">
      <c r="B143" s="1030"/>
      <c r="C143" s="1056"/>
      <c r="D143" s="1036"/>
      <c r="E143" s="1032"/>
      <c r="F143" s="1041"/>
      <c r="G143" s="1045"/>
      <c r="H143" s="1046"/>
      <c r="I143" s="1045"/>
      <c r="J143" s="1046"/>
    </row>
    <row r="144" spans="2:11" ht="15" customHeight="1">
      <c r="B144" s="1030"/>
      <c r="C144" s="1032"/>
      <c r="D144" s="1036" t="s">
        <v>205</v>
      </c>
      <c r="E144" s="1032"/>
      <c r="F144" s="1041"/>
      <c r="G144" s="1045"/>
      <c r="H144" s="1046"/>
      <c r="I144" s="1045"/>
      <c r="J144" s="1046"/>
    </row>
    <row r="145" spans="2:11" ht="15" customHeight="1">
      <c r="B145" s="1030"/>
      <c r="C145" s="1032"/>
      <c r="D145" s="1032"/>
      <c r="E145" s="1056" t="s">
        <v>206</v>
      </c>
      <c r="F145" s="1041" t="s">
        <v>542</v>
      </c>
      <c r="G145" s="1047"/>
      <c r="H145" s="1048"/>
      <c r="I145" s="1047"/>
      <c r="J145" s="1048"/>
    </row>
    <row r="146" spans="2:11" ht="15" customHeight="1">
      <c r="B146" s="1030"/>
      <c r="C146" s="1032"/>
      <c r="D146" s="1032"/>
      <c r="E146" s="1056" t="s">
        <v>207</v>
      </c>
      <c r="F146" s="1041" t="s">
        <v>542</v>
      </c>
      <c r="G146" s="1047"/>
      <c r="H146" s="1048"/>
      <c r="I146" s="1047"/>
      <c r="J146" s="1048"/>
    </row>
    <row r="147" spans="2:11" ht="15" customHeight="1" thickBot="1">
      <c r="B147" s="1049"/>
      <c r="C147" s="1050"/>
      <c r="D147" s="1050"/>
      <c r="E147" s="1050"/>
      <c r="F147" s="1051"/>
      <c r="G147" s="1060"/>
      <c r="H147" s="1061"/>
      <c r="I147" s="1060"/>
      <c r="J147" s="1061"/>
    </row>
    <row r="148" spans="2:11" ht="15" customHeight="1" thickBot="1">
      <c r="B148" s="1056"/>
      <c r="C148" s="1056"/>
      <c r="D148" s="1056"/>
      <c r="E148" s="1056"/>
      <c r="F148" s="1056"/>
      <c r="G148" s="219"/>
      <c r="H148" s="219"/>
      <c r="I148" s="219"/>
      <c r="J148" s="219"/>
    </row>
    <row r="149" spans="2:11" ht="15" customHeight="1">
      <c r="B149" s="1062"/>
      <c r="C149" s="1063" t="s">
        <v>543</v>
      </c>
      <c r="D149" s="1063"/>
      <c r="E149" s="1064"/>
      <c r="F149" s="1065"/>
      <c r="G149" s="1066"/>
      <c r="H149" s="1067"/>
      <c r="I149" s="1066"/>
      <c r="J149" s="1067"/>
    </row>
    <row r="150" spans="2:11" ht="15" customHeight="1">
      <c r="B150" s="1040"/>
      <c r="C150" s="1032"/>
      <c r="D150" s="1036"/>
      <c r="E150" s="1036" t="s">
        <v>140</v>
      </c>
      <c r="F150" s="1041"/>
      <c r="G150" s="1068">
        <v>46.447561280551298</v>
      </c>
      <c r="H150" s="1069">
        <v>57.613318217652797</v>
      </c>
      <c r="I150" s="1068">
        <v>46.447561280551298</v>
      </c>
      <c r="J150" s="1069">
        <v>57.613318217652797</v>
      </c>
    </row>
    <row r="151" spans="2:11" ht="15" customHeight="1">
      <c r="B151" s="1040"/>
      <c r="C151" s="1032"/>
      <c r="D151" s="1036"/>
      <c r="E151" s="1070" t="s">
        <v>544</v>
      </c>
      <c r="F151" s="1041" t="s">
        <v>542</v>
      </c>
      <c r="G151" s="1042">
        <v>10.324422852964664</v>
      </c>
      <c r="H151" s="1043">
        <v>12.806361471781452</v>
      </c>
      <c r="I151" s="1042">
        <v>16.932053478862052</v>
      </c>
      <c r="J151" s="1043">
        <v>21.00243281372158</v>
      </c>
      <c r="K151" s="1044"/>
    </row>
    <row r="152" spans="2:11" ht="15" customHeight="1">
      <c r="B152" s="1040"/>
      <c r="C152" s="1032"/>
      <c r="D152" s="1036"/>
      <c r="E152" s="1070" t="s">
        <v>545</v>
      </c>
      <c r="F152" s="1041" t="s">
        <v>542</v>
      </c>
      <c r="G152" s="1042">
        <v>29.972302446177245</v>
      </c>
      <c r="H152" s="1043">
        <v>37.177491152165118</v>
      </c>
      <c r="I152" s="1042">
        <v>32.985950472962763</v>
      </c>
      <c r="J152" s="1043">
        <v>40.915604800682907</v>
      </c>
      <c r="K152" s="1044"/>
    </row>
    <row r="153" spans="2:11" ht="15" customHeight="1">
      <c r="B153" s="1040"/>
      <c r="C153" s="1032"/>
      <c r="D153" s="1036"/>
      <c r="E153" s="1036" t="s">
        <v>149</v>
      </c>
      <c r="F153" s="1041"/>
      <c r="G153" s="1068"/>
      <c r="H153" s="1069"/>
      <c r="I153" s="1068"/>
      <c r="J153" s="1069"/>
    </row>
    <row r="154" spans="2:11" ht="15" customHeight="1">
      <c r="B154" s="1040"/>
      <c r="C154" s="1032"/>
      <c r="D154" s="1036"/>
      <c r="E154" s="1070" t="s">
        <v>544</v>
      </c>
      <c r="F154" s="1041" t="s">
        <v>542</v>
      </c>
      <c r="G154" s="1042">
        <v>0</v>
      </c>
      <c r="H154" s="1043">
        <v>0</v>
      </c>
      <c r="I154" s="1042">
        <v>0</v>
      </c>
      <c r="J154" s="1043">
        <v>0</v>
      </c>
      <c r="K154" s="1044"/>
    </row>
    <row r="155" spans="2:11" ht="15" customHeight="1" thickBot="1">
      <c r="B155" s="1071"/>
      <c r="C155" s="1072"/>
      <c r="D155" s="1073"/>
      <c r="E155" s="1074" t="s">
        <v>545</v>
      </c>
      <c r="F155" s="1075" t="s">
        <v>542</v>
      </c>
      <c r="G155" s="1076">
        <v>0</v>
      </c>
      <c r="H155" s="1077">
        <v>0</v>
      </c>
      <c r="I155" s="1076">
        <v>0</v>
      </c>
      <c r="J155" s="1077">
        <v>0</v>
      </c>
      <c r="K155" s="1044"/>
    </row>
  </sheetData>
  <mergeCells count="2">
    <mergeCell ref="B7:E9"/>
    <mergeCell ref="F7:F9"/>
  </mergeCells>
  <phoneticPr fontId="2" type="noConversion"/>
  <pageMargins left="0.75" right="0.75" top="1" bottom="1" header="0.5" footer="0.5"/>
  <pageSetup paperSize="9" scale="2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5FFFF"/>
    <pageSetUpPr fitToPage="1"/>
  </sheetPr>
  <dimension ref="J3:P13"/>
  <sheetViews>
    <sheetView workbookViewId="0">
      <selection activeCell="N31" sqref="N31"/>
    </sheetView>
  </sheetViews>
  <sheetFormatPr defaultColWidth="11.42578125" defaultRowHeight="12.75"/>
  <cols>
    <col min="2" max="8" width="0" hidden="1" customWidth="1"/>
  </cols>
  <sheetData>
    <row r="3" spans="10:16" ht="24" customHeight="1">
      <c r="J3" s="1990" t="s">
        <v>546</v>
      </c>
      <c r="K3" s="1991"/>
      <c r="L3" s="1992"/>
      <c r="N3" s="1990" t="s">
        <v>547</v>
      </c>
      <c r="O3" s="1991"/>
      <c r="P3" s="1992"/>
    </row>
    <row r="4" spans="10:16">
      <c r="J4" s="1993" t="s">
        <v>548</v>
      </c>
      <c r="K4" s="1994"/>
      <c r="L4" s="1995"/>
      <c r="N4" s="1996" t="s">
        <v>549</v>
      </c>
      <c r="O4" s="1997"/>
      <c r="P4" s="1998"/>
    </row>
    <row r="5" spans="10:16">
      <c r="J5" s="1078" t="s">
        <v>427</v>
      </c>
      <c r="K5" s="19"/>
      <c r="L5" s="1079"/>
      <c r="N5" s="1080"/>
      <c r="O5" s="1081" t="s">
        <v>223</v>
      </c>
      <c r="P5" s="1082"/>
    </row>
    <row r="6" spans="10:16">
      <c r="J6" s="1083" t="s">
        <v>426</v>
      </c>
      <c r="K6" s="1084"/>
      <c r="L6" s="1085"/>
      <c r="N6" s="1086" t="s">
        <v>244</v>
      </c>
      <c r="O6" s="1087"/>
      <c r="P6" s="1088"/>
    </row>
    <row r="7" spans="10:16">
      <c r="J7" s="1089"/>
      <c r="K7" s="1089"/>
      <c r="L7" s="1089"/>
      <c r="N7" s="1090" t="s">
        <v>550</v>
      </c>
      <c r="O7" s="1091"/>
      <c r="P7" s="1079"/>
    </row>
    <row r="8" spans="10:16">
      <c r="N8" s="1090" t="s">
        <v>245</v>
      </c>
      <c r="O8" s="1091"/>
      <c r="P8" s="1079"/>
    </row>
    <row r="9" spans="10:16">
      <c r="N9" s="1090" t="s">
        <v>427</v>
      </c>
      <c r="O9" s="1091"/>
      <c r="P9" s="1079"/>
    </row>
    <row r="10" spans="10:16">
      <c r="N10" s="1092" t="s">
        <v>506</v>
      </c>
      <c r="O10" s="1093"/>
      <c r="P10" s="1085"/>
    </row>
    <row r="13" spans="10:16">
      <c r="J13" t="s">
        <v>1040</v>
      </c>
    </row>
  </sheetData>
  <mergeCells count="4">
    <mergeCell ref="J3:L3"/>
    <mergeCell ref="N3:P3"/>
    <mergeCell ref="J4:L4"/>
    <mergeCell ref="N4:P4"/>
  </mergeCells>
  <phoneticPr fontId="2" type="noConversion"/>
  <pageMargins left="0.75" right="0.75" top="1" bottom="1" header="0.5" footer="0.5"/>
  <pageSetup paperSize="9" scale="4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5FFFF"/>
    <pageSetUpPr fitToPage="1"/>
  </sheetPr>
  <dimension ref="A1:AL27"/>
  <sheetViews>
    <sheetView zoomScale="90" zoomScaleNormal="90" workbookViewId="0">
      <selection activeCell="Q43" sqref="Q43"/>
    </sheetView>
  </sheetViews>
  <sheetFormatPr defaultColWidth="8.85546875" defaultRowHeight="12.75"/>
  <cols>
    <col min="1" max="1" width="8.5703125" customWidth="1"/>
    <col min="2" max="2" width="8.85546875" hidden="1" customWidth="1"/>
    <col min="3" max="3" width="19" customWidth="1"/>
  </cols>
  <sheetData>
    <row r="1" spans="1:38">
      <c r="A1" s="408" t="s">
        <v>551</v>
      </c>
      <c r="F1" s="407"/>
    </row>
    <row r="3" spans="1:38">
      <c r="A3" s="408" t="s">
        <v>101</v>
      </c>
    </row>
    <row r="5" spans="1:38">
      <c r="C5" s="1094" t="s">
        <v>552</v>
      </c>
      <c r="D5" s="1095"/>
      <c r="E5" s="1095"/>
      <c r="F5" s="1095"/>
      <c r="G5" s="1095"/>
      <c r="H5" s="1095"/>
      <c r="I5" s="1096"/>
      <c r="J5" s="1095"/>
      <c r="K5" s="1095"/>
      <c r="L5" s="1095"/>
      <c r="M5" s="1095"/>
      <c r="N5" s="1095"/>
      <c r="O5" s="1095"/>
      <c r="P5" s="1095"/>
      <c r="Q5" s="1095"/>
      <c r="R5" s="1095"/>
      <c r="S5" s="1095"/>
      <c r="T5" s="1095"/>
      <c r="U5" s="1095"/>
      <c r="V5" s="1095"/>
      <c r="W5" s="1095"/>
      <c r="X5" s="1095"/>
      <c r="Y5" s="1095"/>
      <c r="Z5" s="1095"/>
      <c r="AA5" s="1095"/>
      <c r="AB5" s="1095"/>
      <c r="AC5" s="1095"/>
      <c r="AD5" s="1095"/>
      <c r="AE5" s="1095"/>
      <c r="AF5" s="1095"/>
      <c r="AG5" s="1095"/>
      <c r="AH5" s="1095"/>
      <c r="AI5" s="1095"/>
      <c r="AJ5" s="1095"/>
      <c r="AK5" s="1095"/>
      <c r="AL5" s="1097"/>
    </row>
    <row r="6" spans="1:38">
      <c r="C6" s="1098"/>
      <c r="D6" s="1099"/>
      <c r="E6" s="1099"/>
      <c r="F6" s="1099"/>
      <c r="G6" s="1099"/>
      <c r="H6" s="1099"/>
      <c r="I6" s="1099"/>
      <c r="J6" s="1099"/>
      <c r="K6" s="1099"/>
      <c r="L6" s="1099"/>
      <c r="M6" s="1099"/>
      <c r="N6" s="1099"/>
      <c r="O6" s="1099"/>
      <c r="P6" s="1099"/>
      <c r="Q6" s="1099"/>
      <c r="R6" s="1099"/>
      <c r="S6" s="1099"/>
      <c r="T6" s="1099"/>
      <c r="U6" s="1099"/>
      <c r="V6" s="1099"/>
      <c r="W6" s="1099"/>
      <c r="X6" s="1099"/>
      <c r="Y6" s="1099"/>
      <c r="Z6" s="1099"/>
      <c r="AA6" s="1099"/>
      <c r="AB6" s="1099"/>
      <c r="AC6" s="1099"/>
      <c r="AD6" s="1099"/>
      <c r="AE6" s="1099"/>
      <c r="AF6" s="1099"/>
      <c r="AG6" s="1099"/>
      <c r="AH6" s="1099"/>
      <c r="AI6" s="1099"/>
      <c r="AJ6" s="1099"/>
      <c r="AK6" s="1099"/>
      <c r="AL6" s="1100"/>
    </row>
    <row r="7" spans="1:38">
      <c r="C7" s="1098"/>
      <c r="D7" s="2013" t="s">
        <v>553</v>
      </c>
      <c r="E7" s="2014"/>
      <c r="F7" s="2014"/>
      <c r="G7" s="2014"/>
      <c r="H7" s="2014"/>
      <c r="I7" s="2014"/>
      <c r="J7" s="2014"/>
      <c r="K7" s="2014"/>
      <c r="L7" s="2014"/>
      <c r="M7" s="2014"/>
      <c r="N7" s="2014"/>
      <c r="O7" s="2014"/>
      <c r="P7" s="2014"/>
      <c r="Q7" s="2014"/>
      <c r="R7" s="2014"/>
      <c r="S7" s="2014"/>
      <c r="T7" s="2014"/>
      <c r="U7" s="2014"/>
      <c r="V7" s="2014"/>
      <c r="W7" s="2014"/>
      <c r="X7" s="2015"/>
      <c r="Y7" s="1999" t="s">
        <v>554</v>
      </c>
      <c r="Z7" s="1999" t="s">
        <v>555</v>
      </c>
      <c r="AA7" s="1999" t="s">
        <v>556</v>
      </c>
      <c r="AB7" s="1999" t="s">
        <v>557</v>
      </c>
      <c r="AC7" s="1999" t="s">
        <v>558</v>
      </c>
      <c r="AD7" s="1999" t="s">
        <v>559</v>
      </c>
      <c r="AE7" s="1999" t="s">
        <v>560</v>
      </c>
      <c r="AF7" s="1999" t="s">
        <v>561</v>
      </c>
      <c r="AG7" s="1999" t="s">
        <v>562</v>
      </c>
      <c r="AH7" s="1999" t="s">
        <v>563</v>
      </c>
      <c r="AI7" s="1999" t="s">
        <v>564</v>
      </c>
      <c r="AJ7" s="1999" t="s">
        <v>565</v>
      </c>
      <c r="AK7" s="2004" t="s">
        <v>566</v>
      </c>
      <c r="AL7" s="1101"/>
    </row>
    <row r="8" spans="1:38">
      <c r="C8" s="1098"/>
      <c r="D8" s="2007" t="s">
        <v>567</v>
      </c>
      <c r="E8" s="2008"/>
      <c r="F8" s="2008"/>
      <c r="G8" s="2008"/>
      <c r="H8" s="2008"/>
      <c r="I8" s="2009"/>
      <c r="J8" s="2010" t="s">
        <v>568</v>
      </c>
      <c r="K8" s="2011"/>
      <c r="L8" s="2011"/>
      <c r="M8" s="2011"/>
      <c r="N8" s="2011"/>
      <c r="O8" s="2011"/>
      <c r="P8" s="2011"/>
      <c r="Q8" s="2011"/>
      <c r="R8" s="2011"/>
      <c r="S8" s="2011"/>
      <c r="T8" s="2011"/>
      <c r="U8" s="2011"/>
      <c r="V8" s="2011"/>
      <c r="W8" s="2011"/>
      <c r="X8" s="2012"/>
      <c r="Y8" s="2000"/>
      <c r="Z8" s="2000"/>
      <c r="AA8" s="2000"/>
      <c r="AB8" s="2000"/>
      <c r="AC8" s="2000"/>
      <c r="AD8" s="2000"/>
      <c r="AE8" s="2000"/>
      <c r="AF8" s="2000"/>
      <c r="AG8" s="2000"/>
      <c r="AH8" s="2000"/>
      <c r="AI8" s="2000"/>
      <c r="AJ8" s="2000"/>
      <c r="AK8" s="2005"/>
      <c r="AL8" s="1101"/>
    </row>
    <row r="9" spans="1:38" s="1102" customFormat="1" ht="135">
      <c r="C9" s="1103" t="s">
        <v>569</v>
      </c>
      <c r="D9" s="1104" t="s">
        <v>570</v>
      </c>
      <c r="E9" s="1104" t="s">
        <v>571</v>
      </c>
      <c r="F9" s="1104" t="s">
        <v>572</v>
      </c>
      <c r="G9" s="1104" t="s">
        <v>573</v>
      </c>
      <c r="H9" s="1104" t="s">
        <v>574</v>
      </c>
      <c r="I9" s="1104" t="s">
        <v>575</v>
      </c>
      <c r="J9" s="1104" t="s">
        <v>576</v>
      </c>
      <c r="K9" s="1105" t="s">
        <v>577</v>
      </c>
      <c r="L9" s="1105" t="s">
        <v>578</v>
      </c>
      <c r="M9" s="1105" t="s">
        <v>579</v>
      </c>
      <c r="N9" s="1105" t="s">
        <v>580</v>
      </c>
      <c r="O9" s="1105" t="s">
        <v>581</v>
      </c>
      <c r="P9" s="1105" t="s">
        <v>582</v>
      </c>
      <c r="Q9" s="1105" t="s">
        <v>583</v>
      </c>
      <c r="R9" s="1105" t="s">
        <v>584</v>
      </c>
      <c r="S9" s="1105" t="s">
        <v>585</v>
      </c>
      <c r="T9" s="1105" t="s">
        <v>586</v>
      </c>
      <c r="U9" s="1105" t="s">
        <v>587</v>
      </c>
      <c r="V9" s="1105" t="s">
        <v>588</v>
      </c>
      <c r="W9" s="1105" t="s">
        <v>589</v>
      </c>
      <c r="X9" s="1105" t="s">
        <v>590</v>
      </c>
      <c r="Y9" s="2001"/>
      <c r="Z9" s="2001"/>
      <c r="AA9" s="2001"/>
      <c r="AB9" s="2001"/>
      <c r="AC9" s="2001"/>
      <c r="AD9" s="2001"/>
      <c r="AE9" s="2001"/>
      <c r="AF9" s="2001"/>
      <c r="AG9" s="2001"/>
      <c r="AH9" s="2001"/>
      <c r="AI9" s="2001"/>
      <c r="AJ9" s="2001"/>
      <c r="AK9" s="2006"/>
      <c r="AL9" s="1106"/>
    </row>
    <row r="10" spans="1:38">
      <c r="C10" s="1107"/>
      <c r="D10" s="1108" t="s">
        <v>591</v>
      </c>
      <c r="E10" s="1108" t="s">
        <v>591</v>
      </c>
      <c r="F10" s="1108" t="s">
        <v>591</v>
      </c>
      <c r="G10" s="1108" t="s">
        <v>591</v>
      </c>
      <c r="H10" s="1108" t="s">
        <v>591</v>
      </c>
      <c r="I10" s="1108" t="s">
        <v>591</v>
      </c>
      <c r="J10" s="1108" t="s">
        <v>591</v>
      </c>
      <c r="K10" s="1108" t="s">
        <v>591</v>
      </c>
      <c r="L10" s="1108" t="s">
        <v>591</v>
      </c>
      <c r="M10" s="1108" t="s">
        <v>591</v>
      </c>
      <c r="N10" s="1108" t="s">
        <v>591</v>
      </c>
      <c r="O10" s="1108" t="s">
        <v>591</v>
      </c>
      <c r="P10" s="1108" t="s">
        <v>591</v>
      </c>
      <c r="Q10" s="1108" t="s">
        <v>591</v>
      </c>
      <c r="R10" s="1108" t="s">
        <v>591</v>
      </c>
      <c r="S10" s="1108" t="s">
        <v>591</v>
      </c>
      <c r="T10" s="1108" t="s">
        <v>591</v>
      </c>
      <c r="U10" s="1108" t="s">
        <v>591</v>
      </c>
      <c r="V10" s="1108" t="s">
        <v>591</v>
      </c>
      <c r="W10" s="1108" t="s">
        <v>591</v>
      </c>
      <c r="X10" s="1108" t="s">
        <v>591</v>
      </c>
      <c r="Y10" s="1108" t="s">
        <v>591</v>
      </c>
      <c r="Z10" s="1108" t="s">
        <v>591</v>
      </c>
      <c r="AA10" s="1108" t="s">
        <v>591</v>
      </c>
      <c r="AB10" s="1108" t="s">
        <v>591</v>
      </c>
      <c r="AC10" s="1108" t="s">
        <v>591</v>
      </c>
      <c r="AD10" s="1108" t="s">
        <v>591</v>
      </c>
      <c r="AE10" s="1108" t="s">
        <v>591</v>
      </c>
      <c r="AF10" s="1108" t="s">
        <v>591</v>
      </c>
      <c r="AG10" s="1108" t="s">
        <v>591</v>
      </c>
      <c r="AH10" s="1108" t="s">
        <v>591</v>
      </c>
      <c r="AI10" s="1108" t="s">
        <v>591</v>
      </c>
      <c r="AJ10" s="1108" t="s">
        <v>591</v>
      </c>
      <c r="AK10" s="1108" t="s">
        <v>591</v>
      </c>
      <c r="AL10" s="1100"/>
    </row>
    <row r="11" spans="1:38">
      <c r="C11" s="1109"/>
      <c r="D11" s="1110"/>
      <c r="E11" s="1110"/>
      <c r="F11" s="1110"/>
      <c r="G11" s="1110"/>
      <c r="H11" s="1110"/>
      <c r="I11" s="1110"/>
      <c r="J11" s="1110"/>
      <c r="K11" s="1110"/>
      <c r="L11" s="1110"/>
      <c r="M11" s="1110"/>
      <c r="N11" s="1110"/>
      <c r="O11" s="1110"/>
      <c r="P11" s="1110"/>
      <c r="Q11" s="1110"/>
      <c r="R11" s="1110"/>
      <c r="S11" s="1110"/>
      <c r="T11" s="1110"/>
      <c r="U11" s="1110"/>
      <c r="V11" s="1110"/>
      <c r="W11" s="1110"/>
      <c r="X11" s="1110"/>
      <c r="Y11" s="1110"/>
      <c r="Z11" s="1110"/>
      <c r="AA11" s="1110"/>
      <c r="AB11" s="1110"/>
      <c r="AC11" s="1110"/>
      <c r="AD11" s="1110"/>
      <c r="AE11" s="1110"/>
      <c r="AF11" s="1110"/>
      <c r="AG11" s="1110"/>
      <c r="AH11" s="1110"/>
      <c r="AI11" s="1110"/>
      <c r="AJ11" s="1110"/>
      <c r="AK11" s="1110"/>
      <c r="AL11" s="1100"/>
    </row>
    <row r="12" spans="1:38">
      <c r="C12" s="1111" t="s">
        <v>592</v>
      </c>
      <c r="D12" s="311">
        <v>9.6634520789690299</v>
      </c>
      <c r="E12" s="311">
        <v>63.506587812839619</v>
      </c>
      <c r="F12" s="311">
        <v>4.0804256415580955</v>
      </c>
      <c r="G12" s="311">
        <v>16.03439464988551</v>
      </c>
      <c r="H12" s="311">
        <v>4.7429879453085206</v>
      </c>
      <c r="I12" s="311">
        <v>1.6368881011594891</v>
      </c>
      <c r="J12" s="311">
        <v>0.79877823527135439</v>
      </c>
      <c r="K12" s="311">
        <v>8.50892620520073</v>
      </c>
      <c r="L12" s="311">
        <v>3.864575487820221</v>
      </c>
      <c r="M12" s="311">
        <v>15.017576021327987</v>
      </c>
      <c r="N12" s="311">
        <v>2.6231913412623666</v>
      </c>
      <c r="O12" s="311">
        <v>1.1971922726956574</v>
      </c>
      <c r="P12" s="311">
        <v>1.3730280456278914</v>
      </c>
      <c r="Q12" s="311">
        <v>1.137985595231386</v>
      </c>
      <c r="R12" s="311">
        <v>2.0073828743963098</v>
      </c>
      <c r="S12" s="311">
        <v>12.846120169989643</v>
      </c>
      <c r="T12" s="311">
        <v>6.9050026314811834</v>
      </c>
      <c r="U12" s="311">
        <v>2.752174273403194</v>
      </c>
      <c r="V12" s="311">
        <v>0.81469405929801364</v>
      </c>
      <c r="W12" s="311">
        <v>8.6435311720759582</v>
      </c>
      <c r="X12" s="311">
        <v>2.3115403502563221</v>
      </c>
      <c r="Y12" s="311">
        <v>15.445247999999999</v>
      </c>
      <c r="Z12" s="311">
        <v>0</v>
      </c>
      <c r="AA12" s="311">
        <v>0.61796958946554414</v>
      </c>
      <c r="AB12" s="311">
        <v>15.206595222076547</v>
      </c>
      <c r="AC12" s="311">
        <v>-0.43430239645676894</v>
      </c>
      <c r="AD12" s="311">
        <v>0.93221999999999994</v>
      </c>
      <c r="AE12" s="311">
        <v>11.957154855261129</v>
      </c>
      <c r="AF12" s="311">
        <v>59.102484352201088</v>
      </c>
      <c r="AG12" s="311">
        <v>17.0274</v>
      </c>
      <c r="AH12" s="311">
        <v>9.0830000000000002</v>
      </c>
      <c r="AI12" s="311">
        <v>0</v>
      </c>
      <c r="AJ12" s="311">
        <v>-26.259723587606004</v>
      </c>
      <c r="AK12" s="311">
        <v>273.14448100000004</v>
      </c>
      <c r="AL12" s="1112"/>
    </row>
    <row r="13" spans="1:38">
      <c r="C13" s="1111" t="s">
        <v>593</v>
      </c>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v>0</v>
      </c>
      <c r="AL13" s="1112"/>
    </row>
    <row r="14" spans="1:38">
      <c r="C14" s="1111" t="s">
        <v>592</v>
      </c>
      <c r="D14" s="311">
        <v>9.6634520789690299</v>
      </c>
      <c r="E14" s="311">
        <v>63.506587812839619</v>
      </c>
      <c r="F14" s="311">
        <v>4.0804256415580955</v>
      </c>
      <c r="G14" s="311">
        <v>16.03439464988551</v>
      </c>
      <c r="H14" s="311">
        <v>4.7429879453085206</v>
      </c>
      <c r="I14" s="311">
        <v>1.6368881011594891</v>
      </c>
      <c r="J14" s="311">
        <v>0.79877823527135439</v>
      </c>
      <c r="K14" s="311">
        <v>8.50892620520073</v>
      </c>
      <c r="L14" s="311">
        <v>3.864575487820221</v>
      </c>
      <c r="M14" s="311">
        <v>15.017576021327987</v>
      </c>
      <c r="N14" s="311">
        <v>2.6231913412623666</v>
      </c>
      <c r="O14" s="311">
        <v>1.1971922726956574</v>
      </c>
      <c r="P14" s="311">
        <v>1.3730280456278914</v>
      </c>
      <c r="Q14" s="311">
        <v>1.137985595231386</v>
      </c>
      <c r="R14" s="311">
        <v>2.0073828743963098</v>
      </c>
      <c r="S14" s="311">
        <v>12.846120169989643</v>
      </c>
      <c r="T14" s="311">
        <v>6.9050026314811834</v>
      </c>
      <c r="U14" s="311">
        <v>2.752174273403194</v>
      </c>
      <c r="V14" s="311">
        <v>0.81469405929801364</v>
      </c>
      <c r="W14" s="311">
        <v>8.6435311720759582</v>
      </c>
      <c r="X14" s="311">
        <v>2.3115403502563221</v>
      </c>
      <c r="Y14" s="311">
        <v>15.445247999999999</v>
      </c>
      <c r="Z14" s="311">
        <v>0</v>
      </c>
      <c r="AA14" s="311">
        <v>0.61796958946554414</v>
      </c>
      <c r="AB14" s="311">
        <v>15.206595222076547</v>
      </c>
      <c r="AC14" s="311">
        <v>-0.43430239645676894</v>
      </c>
      <c r="AD14" s="311">
        <v>0.93221999999999994</v>
      </c>
      <c r="AE14" s="311">
        <v>11.957154855261129</v>
      </c>
      <c r="AF14" s="311">
        <v>59.102484352201088</v>
      </c>
      <c r="AG14" s="311">
        <v>17.0274</v>
      </c>
      <c r="AH14" s="311">
        <v>9.0830000000000002</v>
      </c>
      <c r="AI14" s="311">
        <v>0</v>
      </c>
      <c r="AJ14" s="311">
        <v>-26.259723587606004</v>
      </c>
      <c r="AK14" s="311">
        <v>273.14448100000004</v>
      </c>
      <c r="AL14" s="1112"/>
    </row>
    <row r="15" spans="1:38">
      <c r="C15" s="11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1112"/>
    </row>
    <row r="16" spans="1:38">
      <c r="C16" s="1111" t="s">
        <v>594</v>
      </c>
      <c r="D16" s="311">
        <v>-5.7923418430707221</v>
      </c>
      <c r="E16" s="311">
        <v>46.850653637644193</v>
      </c>
      <c r="F16" s="311">
        <v>3.8887473568048447</v>
      </c>
      <c r="G16" s="311">
        <v>17.013222302067078</v>
      </c>
      <c r="H16" s="311">
        <v>6.1022826028663566</v>
      </c>
      <c r="I16" s="311">
        <v>1.3428515463550674</v>
      </c>
      <c r="J16" s="311">
        <v>2.2981309609909299</v>
      </c>
      <c r="K16" s="311">
        <v>8.0668336143569572</v>
      </c>
      <c r="L16" s="311">
        <v>2.2021234162447363</v>
      </c>
      <c r="M16" s="311">
        <v>15.637826759123307</v>
      </c>
      <c r="N16" s="311">
        <v>2.4145484322630053</v>
      </c>
      <c r="O16" s="311">
        <v>1.1989483604192526</v>
      </c>
      <c r="P16" s="311">
        <v>1.7485002800000005</v>
      </c>
      <c r="Q16" s="311">
        <v>1.8731901200000001</v>
      </c>
      <c r="R16" s="311">
        <v>2.1195011587039501</v>
      </c>
      <c r="S16" s="311">
        <v>10.958341469603344</v>
      </c>
      <c r="T16" s="311">
        <v>4.8656127609643836</v>
      </c>
      <c r="U16" s="311">
        <v>2.2816883312094451</v>
      </c>
      <c r="V16" s="311">
        <v>0.84379100678478891</v>
      </c>
      <c r="W16" s="311">
        <v>7.0085806841458069</v>
      </c>
      <c r="X16" s="311">
        <v>2.1410792035677355</v>
      </c>
      <c r="Y16" s="311">
        <v>0.48485605676958615</v>
      </c>
      <c r="Z16" s="311">
        <v>0</v>
      </c>
      <c r="AA16" s="311">
        <v>6.4962762782910763</v>
      </c>
      <c r="AB16" s="311">
        <v>29.112834279382245</v>
      </c>
      <c r="AC16" s="311">
        <v>-3.6965251478481007</v>
      </c>
      <c r="AD16" s="311">
        <v>0</v>
      </c>
      <c r="AE16" s="311">
        <v>6.6843929999999983</v>
      </c>
      <c r="AF16" s="311">
        <v>59.220287600063259</v>
      </c>
      <c r="AG16" s="311">
        <v>16.605599999999999</v>
      </c>
      <c r="AH16" s="311">
        <v>9.5850000000000009</v>
      </c>
      <c r="AI16" s="311">
        <v>0</v>
      </c>
      <c r="AJ16" s="311">
        <v>-13.656834227702575</v>
      </c>
      <c r="AK16" s="311">
        <v>245.9</v>
      </c>
      <c r="AL16" s="1113"/>
    </row>
    <row r="17" spans="3:38">
      <c r="C17" s="11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1113"/>
    </row>
    <row r="18" spans="3:38">
      <c r="C18" s="1111" t="s">
        <v>595</v>
      </c>
      <c r="D18" s="311">
        <v>12.313829036969267</v>
      </c>
      <c r="E18" s="311">
        <v>36.022024113672849</v>
      </c>
      <c r="F18" s="311">
        <v>11.080708135203267</v>
      </c>
      <c r="G18" s="311">
        <v>18.249724860435073</v>
      </c>
      <c r="H18" s="311">
        <v>6.2519386198571478</v>
      </c>
      <c r="I18" s="311">
        <v>1.1407921706224478</v>
      </c>
      <c r="J18" s="311">
        <v>2.4958434693073022</v>
      </c>
      <c r="K18" s="311">
        <v>7.6493198771973905</v>
      </c>
      <c r="L18" s="311">
        <v>1.9021706971500925</v>
      </c>
      <c r="M18" s="311">
        <v>13.937219067319573</v>
      </c>
      <c r="N18" s="311">
        <v>2.3703115546737838</v>
      </c>
      <c r="O18" s="311">
        <v>1.5648181722226089</v>
      </c>
      <c r="P18" s="311">
        <v>1.1570509610241217</v>
      </c>
      <c r="Q18" s="311">
        <v>2.1188417560401716</v>
      </c>
      <c r="R18" s="311">
        <v>3.5124047323213654</v>
      </c>
      <c r="S18" s="311">
        <v>12.100303290631905</v>
      </c>
      <c r="T18" s="311">
        <v>4.0370005391247021</v>
      </c>
      <c r="U18" s="311">
        <v>2.3122985839450778</v>
      </c>
      <c r="V18" s="311">
        <v>1.6218638515417285</v>
      </c>
      <c r="W18" s="311">
        <v>8.1442222859924822</v>
      </c>
      <c r="X18" s="311">
        <v>3.1887696778411692</v>
      </c>
      <c r="Y18" s="311">
        <v>3.8182999999999998</v>
      </c>
      <c r="Z18" s="311">
        <v>51.863805526717123</v>
      </c>
      <c r="AA18" s="311">
        <v>10.12992937969543</v>
      </c>
      <c r="AB18" s="311">
        <v>19.003294158920134</v>
      </c>
      <c r="AC18" s="311">
        <v>0</v>
      </c>
      <c r="AD18" s="311">
        <v>0</v>
      </c>
      <c r="AE18" s="311">
        <v>0</v>
      </c>
      <c r="AF18" s="311">
        <v>52.262879900045036</v>
      </c>
      <c r="AG18" s="311">
        <v>16.183700000000002</v>
      </c>
      <c r="AH18" s="311">
        <v>5.8273999999999999</v>
      </c>
      <c r="AI18" s="311">
        <v>0</v>
      </c>
      <c r="AJ18" s="311">
        <v>-35.756364418471208</v>
      </c>
      <c r="AK18" s="311">
        <v>276.50440000000003</v>
      </c>
      <c r="AL18" s="1113"/>
    </row>
    <row r="19" spans="3:38">
      <c r="C19" s="1114"/>
      <c r="D19" s="1115"/>
      <c r="E19" s="1115"/>
      <c r="F19" s="1115"/>
      <c r="G19" s="1115"/>
      <c r="H19" s="1115"/>
      <c r="I19" s="1115"/>
      <c r="J19" s="1115"/>
      <c r="K19" s="1115"/>
      <c r="L19" s="1115"/>
      <c r="M19" s="1115"/>
      <c r="N19" s="1115"/>
      <c r="O19" s="1115"/>
      <c r="P19" s="1115"/>
      <c r="Q19" s="1115"/>
      <c r="R19" s="1115"/>
      <c r="S19" s="1115"/>
      <c r="T19" s="1115"/>
      <c r="U19" s="1115"/>
      <c r="V19" s="1115"/>
      <c r="W19" s="1115"/>
      <c r="X19" s="1115"/>
      <c r="Y19" s="1115"/>
      <c r="Z19" s="1115"/>
      <c r="AA19" s="1115"/>
      <c r="AB19" s="1115"/>
      <c r="AC19" s="1115"/>
      <c r="AD19" s="1115"/>
      <c r="AE19" s="1115"/>
      <c r="AF19" s="1115"/>
      <c r="AG19" s="1115"/>
      <c r="AH19" s="1115"/>
      <c r="AI19" s="1115"/>
      <c r="AJ19" s="1115"/>
      <c r="AK19" s="1115"/>
      <c r="AL19" s="1112"/>
    </row>
    <row r="20" spans="3:38">
      <c r="C20" s="1116"/>
      <c r="D20" s="1117"/>
      <c r="E20" s="1117"/>
      <c r="F20" s="1117"/>
      <c r="G20" s="1117"/>
      <c r="H20" s="1117"/>
      <c r="I20" s="1117"/>
      <c r="J20" s="1117"/>
      <c r="K20" s="1117"/>
      <c r="L20" s="1117"/>
      <c r="M20" s="1117"/>
      <c r="N20" s="1117"/>
      <c r="O20" s="1117"/>
      <c r="P20" s="1117"/>
      <c r="Q20" s="1117"/>
      <c r="R20" s="1117"/>
      <c r="S20" s="1117"/>
      <c r="T20" s="1117"/>
      <c r="U20" s="1117"/>
      <c r="V20" s="1117"/>
      <c r="W20" s="1117"/>
      <c r="X20" s="1117"/>
      <c r="Y20" s="1117"/>
      <c r="Z20" s="1117"/>
      <c r="AA20" s="1117"/>
      <c r="AB20" s="1117"/>
      <c r="AC20" s="1117"/>
      <c r="AD20" s="1117"/>
      <c r="AE20" s="1117"/>
      <c r="AF20" s="1117"/>
      <c r="AG20" s="1117"/>
      <c r="AH20" s="1117"/>
      <c r="AI20" s="1117"/>
      <c r="AJ20" s="1117"/>
      <c r="AK20" s="1117"/>
      <c r="AL20" s="1112"/>
    </row>
    <row r="21" spans="3:38">
      <c r="C21" s="1118" t="s">
        <v>596</v>
      </c>
      <c r="D21" s="1119"/>
      <c r="E21" s="1119"/>
      <c r="F21" s="1120"/>
      <c r="G21" s="1121"/>
      <c r="H21" s="1121"/>
      <c r="I21" s="1121"/>
      <c r="J21" s="1121"/>
      <c r="K21" s="1121"/>
      <c r="L21" s="1121"/>
      <c r="M21" s="1121"/>
      <c r="N21" s="1121"/>
      <c r="O21" s="1121"/>
      <c r="P21" s="1121"/>
      <c r="Q21" s="1121"/>
      <c r="R21" s="1122"/>
      <c r="S21" s="1119"/>
      <c r="T21" s="1119"/>
      <c r="U21" s="1119"/>
      <c r="V21" s="1119"/>
      <c r="W21" s="1119"/>
      <c r="X21" s="1119"/>
      <c r="Y21" s="1119"/>
      <c r="Z21" s="1119"/>
      <c r="AA21" s="1119"/>
      <c r="AB21" s="1117"/>
      <c r="AC21" s="1117"/>
      <c r="AD21" s="1117"/>
      <c r="AE21" s="1117"/>
      <c r="AF21" s="1117"/>
      <c r="AG21" s="1117"/>
      <c r="AH21" s="1117"/>
      <c r="AI21" s="1117"/>
      <c r="AJ21" s="1117"/>
      <c r="AK21" s="1117"/>
      <c r="AL21" s="1112"/>
    </row>
    <row r="22" spans="3:38">
      <c r="C22" s="1118">
        <v>1</v>
      </c>
      <c r="D22" s="2002" t="s">
        <v>597</v>
      </c>
      <c r="E22" s="2003"/>
      <c r="F22" s="2003"/>
      <c r="G22" s="2003"/>
      <c r="H22" s="2003"/>
      <c r="I22" s="2003"/>
      <c r="J22" s="2003"/>
      <c r="K22" s="2003"/>
      <c r="L22" s="2003"/>
      <c r="M22" s="2003"/>
      <c r="N22" s="2003"/>
      <c r="O22" s="2003"/>
      <c r="P22" s="2003"/>
      <c r="Q22" s="2003"/>
      <c r="R22" s="2003"/>
      <c r="S22" s="2003"/>
      <c r="T22" s="2003"/>
      <c r="U22" s="2003"/>
      <c r="V22" s="2003"/>
      <c r="W22" s="2003"/>
      <c r="X22" s="2003"/>
      <c r="Y22" s="2003"/>
      <c r="Z22" s="2003"/>
      <c r="AA22" s="2003"/>
      <c r="AB22" s="1117"/>
      <c r="AC22" s="1117"/>
      <c r="AD22" s="1117"/>
      <c r="AE22" s="1117"/>
      <c r="AF22" s="1117"/>
      <c r="AG22" s="1117"/>
      <c r="AH22" s="1117"/>
      <c r="AI22" s="1117"/>
      <c r="AJ22" s="1117"/>
      <c r="AK22" s="1117"/>
      <c r="AL22" s="1112"/>
    </row>
    <row r="23" spans="3:38">
      <c r="C23" s="1118">
        <v>2</v>
      </c>
      <c r="D23" s="2002" t="s">
        <v>598</v>
      </c>
      <c r="E23" s="2003"/>
      <c r="F23" s="2003"/>
      <c r="G23" s="2003"/>
      <c r="H23" s="2003"/>
      <c r="I23" s="2003"/>
      <c r="J23" s="2003"/>
      <c r="K23" s="2003"/>
      <c r="L23" s="2003"/>
      <c r="M23" s="2003"/>
      <c r="N23" s="2003"/>
      <c r="O23" s="2003"/>
      <c r="P23" s="2003"/>
      <c r="Q23" s="2003"/>
      <c r="R23" s="2003"/>
      <c r="S23" s="2003"/>
      <c r="T23" s="2003"/>
      <c r="U23" s="2003"/>
      <c r="V23" s="2003"/>
      <c r="W23" s="2003"/>
      <c r="X23" s="2003"/>
      <c r="Y23" s="2003"/>
      <c r="Z23" s="2003"/>
      <c r="AA23" s="2003"/>
      <c r="AB23" s="1117"/>
      <c r="AC23" s="1117"/>
      <c r="AD23" s="1117"/>
      <c r="AE23" s="1117"/>
      <c r="AF23" s="1117"/>
      <c r="AG23" s="1117"/>
      <c r="AH23" s="1117"/>
      <c r="AI23" s="1117"/>
      <c r="AJ23" s="1117"/>
      <c r="AK23" s="1117"/>
      <c r="AL23" s="1112"/>
    </row>
    <row r="24" spans="3:38">
      <c r="C24" s="1118">
        <v>3</v>
      </c>
      <c r="D24" s="2002" t="s">
        <v>599</v>
      </c>
      <c r="E24" s="2003"/>
      <c r="F24" s="2003"/>
      <c r="G24" s="2003"/>
      <c r="H24" s="2003"/>
      <c r="I24" s="2003"/>
      <c r="J24" s="2003"/>
      <c r="K24" s="2003"/>
      <c r="L24" s="2003"/>
      <c r="M24" s="2003"/>
      <c r="N24" s="2003"/>
      <c r="O24" s="2003"/>
      <c r="P24" s="2003"/>
      <c r="Q24" s="2003"/>
      <c r="R24" s="2003"/>
      <c r="S24" s="2003"/>
      <c r="T24" s="2003"/>
      <c r="U24" s="2003"/>
      <c r="V24" s="2003"/>
      <c r="W24" s="2003"/>
      <c r="X24" s="2003"/>
      <c r="Y24" s="2003"/>
      <c r="Z24" s="2003"/>
      <c r="AA24" s="2003"/>
      <c r="AB24" s="1117"/>
      <c r="AC24" s="1117"/>
      <c r="AD24" s="1117"/>
      <c r="AE24" s="1117"/>
      <c r="AF24" s="1117"/>
      <c r="AG24" s="1117"/>
      <c r="AH24" s="1117"/>
      <c r="AI24" s="1117"/>
      <c r="AJ24" s="1117"/>
      <c r="AK24" s="1117"/>
      <c r="AL24" s="1112"/>
    </row>
    <row r="25" spans="3:38">
      <c r="C25" s="1118">
        <v>4</v>
      </c>
      <c r="D25" s="2002" t="s">
        <v>600</v>
      </c>
      <c r="E25" s="2003"/>
      <c r="F25" s="2003"/>
      <c r="G25" s="2003"/>
      <c r="H25" s="2003"/>
      <c r="I25" s="2003"/>
      <c r="J25" s="2003"/>
      <c r="K25" s="2003"/>
      <c r="L25" s="2003"/>
      <c r="M25" s="2003"/>
      <c r="N25" s="2003"/>
      <c r="O25" s="2003"/>
      <c r="P25" s="2003"/>
      <c r="Q25" s="2003"/>
      <c r="R25" s="2003"/>
      <c r="S25" s="2003"/>
      <c r="T25" s="2003"/>
      <c r="U25" s="2003"/>
      <c r="V25" s="2003"/>
      <c r="W25" s="2003"/>
      <c r="X25" s="2003"/>
      <c r="Y25" s="2003"/>
      <c r="Z25" s="2003"/>
      <c r="AA25" s="2003"/>
      <c r="AB25" s="1117"/>
      <c r="AC25" s="1117"/>
      <c r="AD25" s="1117"/>
      <c r="AE25" s="1117"/>
      <c r="AF25" s="1117"/>
      <c r="AG25" s="1117"/>
      <c r="AH25" s="1117"/>
      <c r="AI25" s="1117"/>
      <c r="AJ25" s="1117"/>
      <c r="AK25" s="1117"/>
      <c r="AL25" s="1112"/>
    </row>
    <row r="26" spans="3:38">
      <c r="C26" s="1118">
        <v>5</v>
      </c>
      <c r="D26" s="2002" t="s">
        <v>601</v>
      </c>
      <c r="E26" s="2003"/>
      <c r="F26" s="2003"/>
      <c r="G26" s="2003"/>
      <c r="H26" s="2003"/>
      <c r="I26" s="2003"/>
      <c r="J26" s="2003"/>
      <c r="K26" s="2003"/>
      <c r="L26" s="2003"/>
      <c r="M26" s="2003"/>
      <c r="N26" s="2003"/>
      <c r="O26" s="2003"/>
      <c r="P26" s="2003"/>
      <c r="Q26" s="2003"/>
      <c r="R26" s="2003"/>
      <c r="S26" s="2003"/>
      <c r="T26" s="2003"/>
      <c r="U26" s="2003"/>
      <c r="V26" s="2003"/>
      <c r="W26" s="2003"/>
      <c r="X26" s="2003"/>
      <c r="Y26" s="2003"/>
      <c r="Z26" s="2003"/>
      <c r="AA26" s="2003"/>
      <c r="AB26" s="1117"/>
      <c r="AC26" s="1117"/>
      <c r="AD26" s="1117"/>
      <c r="AE26" s="1117"/>
      <c r="AF26" s="1117"/>
      <c r="AG26" s="1117"/>
      <c r="AH26" s="1117"/>
      <c r="AI26" s="1117"/>
      <c r="AJ26" s="1117"/>
      <c r="AK26" s="1117"/>
      <c r="AL26" s="1112"/>
    </row>
    <row r="27" spans="3:38">
      <c r="C27" s="1123"/>
      <c r="D27" s="1124"/>
      <c r="E27" s="1124"/>
      <c r="F27" s="1124"/>
      <c r="G27" s="1124"/>
      <c r="H27" s="1124"/>
      <c r="I27" s="1124"/>
      <c r="J27" s="1124"/>
      <c r="K27" s="1124"/>
      <c r="L27" s="1124"/>
      <c r="M27" s="1124"/>
      <c r="N27" s="1124"/>
      <c r="O27" s="1124"/>
      <c r="P27" s="1124"/>
      <c r="Q27" s="1124"/>
      <c r="R27" s="1124"/>
      <c r="S27" s="1124"/>
      <c r="T27" s="1124"/>
      <c r="U27" s="1124"/>
      <c r="V27" s="1124"/>
      <c r="W27" s="1124"/>
      <c r="X27" s="1124"/>
      <c r="Y27" s="1124"/>
      <c r="Z27" s="1124"/>
      <c r="AA27" s="1124"/>
      <c r="AB27" s="1124"/>
      <c r="AC27" s="1124"/>
      <c r="AD27" s="1124"/>
      <c r="AE27" s="1124"/>
      <c r="AF27" s="1124"/>
      <c r="AG27" s="1124"/>
      <c r="AH27" s="1124"/>
      <c r="AI27" s="1124"/>
      <c r="AJ27" s="1124"/>
      <c r="AK27" s="1124"/>
      <c r="AL27" s="1125"/>
    </row>
  </sheetData>
  <mergeCells count="21">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 ref="Y7:Y9"/>
    <mergeCell ref="Z7:Z9"/>
    <mergeCell ref="AA7:AA9"/>
    <mergeCell ref="AB7:AB9"/>
    <mergeCell ref="AC7:AC9"/>
  </mergeCells>
  <phoneticPr fontId="2" type="noConversion"/>
  <pageMargins left="0.75" right="0.75" top="1" bottom="1" header="0.5" footer="0.5"/>
  <pageSetup paperSize="9" scale="2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5FFFF"/>
    <pageSetUpPr fitToPage="1"/>
  </sheetPr>
  <dimension ref="A1:R51"/>
  <sheetViews>
    <sheetView zoomScale="70" zoomScaleNormal="70" workbookViewId="0">
      <selection activeCell="AA48" sqref="AA48"/>
    </sheetView>
  </sheetViews>
  <sheetFormatPr defaultColWidth="8.85546875" defaultRowHeight="12.75"/>
  <cols>
    <col min="1" max="1" width="11.42578125" style="442" customWidth="1"/>
    <col min="2" max="2" width="8.85546875" style="442" customWidth="1"/>
    <col min="3" max="3" width="29.85546875" style="442" customWidth="1"/>
    <col min="4" max="4" width="8.85546875" style="442" customWidth="1"/>
    <col min="5" max="5" width="25.42578125" style="442" customWidth="1"/>
    <col min="6" max="6" width="13.42578125" style="442" customWidth="1"/>
    <col min="7" max="10" width="8.85546875" style="442"/>
    <col min="11" max="11" width="9.42578125" style="442" customWidth="1"/>
    <col min="12" max="12" width="8.85546875" style="442"/>
    <col min="13" max="17" width="12.42578125" style="442" customWidth="1"/>
    <col min="18" max="16384" width="8.85546875" style="442"/>
  </cols>
  <sheetData>
    <row r="1" spans="1:18" ht="18" customHeight="1">
      <c r="A1" s="1126" t="s">
        <v>551</v>
      </c>
      <c r="E1" s="1127"/>
    </row>
    <row r="2" spans="1:18">
      <c r="A2" s="1126"/>
    </row>
    <row r="3" spans="1:18" ht="18" customHeight="1">
      <c r="A3" s="1126" t="s">
        <v>101</v>
      </c>
    </row>
    <row r="5" spans="1:18" ht="17.25" customHeight="1">
      <c r="A5" s="1128" t="s">
        <v>602</v>
      </c>
      <c r="B5" s="1129"/>
      <c r="C5" s="1129"/>
      <c r="D5" s="1130"/>
      <c r="E5" s="1129"/>
      <c r="F5" s="1129"/>
      <c r="G5" s="1129"/>
      <c r="H5" s="1129"/>
      <c r="I5" s="1129"/>
      <c r="J5" s="1129"/>
      <c r="K5" s="1129"/>
      <c r="L5" s="1129"/>
      <c r="M5" s="1129"/>
      <c r="N5" s="1129"/>
      <c r="O5" s="1129"/>
      <c r="P5" s="1129"/>
      <c r="Q5" s="1129"/>
      <c r="R5" s="1129"/>
    </row>
    <row r="6" spans="1:18" ht="18" customHeight="1" thickBot="1">
      <c r="A6" s="1129"/>
      <c r="B6" s="1129"/>
      <c r="C6" s="1129"/>
      <c r="D6" s="1130"/>
      <c r="E6" s="1129"/>
      <c r="F6" s="1129"/>
      <c r="G6" s="1129"/>
      <c r="H6" s="1129"/>
      <c r="I6" s="1129"/>
      <c r="J6" s="1129"/>
      <c r="K6" s="1129"/>
      <c r="L6" s="1129"/>
      <c r="R6" s="1129"/>
    </row>
    <row r="7" spans="1:18" s="1134" customFormat="1" ht="18" customHeight="1" thickBot="1">
      <c r="A7" s="1131"/>
      <c r="B7" s="1131"/>
      <c r="C7" s="1131"/>
      <c r="D7" s="1132"/>
      <c r="E7" s="2022" t="s">
        <v>603</v>
      </c>
      <c r="F7" s="2023"/>
      <c r="G7" s="2024"/>
      <c r="H7" s="1133"/>
      <c r="I7" s="2025" t="s">
        <v>604</v>
      </c>
      <c r="J7" s="2026"/>
      <c r="K7" s="2027"/>
      <c r="L7" s="1131"/>
      <c r="M7" s="2028" t="s">
        <v>605</v>
      </c>
      <c r="N7" s="2029"/>
      <c r="O7" s="2029"/>
      <c r="P7" s="2029"/>
      <c r="Q7" s="2030"/>
      <c r="R7" s="1132"/>
    </row>
    <row r="8" spans="1:18" ht="27.75" customHeight="1" thickBot="1">
      <c r="A8" s="1135"/>
      <c r="B8" s="1135"/>
      <c r="C8" s="1135"/>
      <c r="D8" s="1136"/>
      <c r="E8" s="2031" t="s">
        <v>606</v>
      </c>
      <c r="F8" s="2032"/>
      <c r="G8" s="2033"/>
      <c r="H8" s="1133"/>
      <c r="I8" s="1137" t="s">
        <v>606</v>
      </c>
      <c r="J8" s="1138"/>
      <c r="K8" s="1139" t="s">
        <v>607</v>
      </c>
      <c r="L8" s="1140"/>
      <c r="M8" s="2034" t="s">
        <v>603</v>
      </c>
      <c r="N8" s="2035"/>
      <c r="O8" s="2036"/>
      <c r="P8" s="1140"/>
      <c r="Q8" s="1141" t="s">
        <v>573</v>
      </c>
      <c r="R8" s="1142"/>
    </row>
    <row r="9" spans="1:18" ht="16.5" thickBot="1">
      <c r="A9" s="2016" t="s">
        <v>608</v>
      </c>
      <c r="B9" s="2017"/>
      <c r="C9" s="2018"/>
      <c r="D9" s="1143"/>
      <c r="E9" s="1144" t="s">
        <v>609</v>
      </c>
      <c r="F9" s="1145" t="s">
        <v>610</v>
      </c>
      <c r="G9" s="1146" t="s">
        <v>611</v>
      </c>
      <c r="H9" s="1147"/>
      <c r="I9" s="1148" t="s">
        <v>611</v>
      </c>
      <c r="J9" s="334"/>
      <c r="K9" s="1149" t="s">
        <v>611</v>
      </c>
      <c r="L9" s="1140"/>
      <c r="M9" s="1150" t="s">
        <v>609</v>
      </c>
      <c r="N9" s="1151" t="s">
        <v>610</v>
      </c>
      <c r="O9" s="1152" t="s">
        <v>611</v>
      </c>
      <c r="P9" s="1140"/>
      <c r="Q9" s="1149" t="s">
        <v>611</v>
      </c>
      <c r="R9" s="1142"/>
    </row>
    <row r="10" spans="1:18" ht="16.5" thickBot="1">
      <c r="A10" s="2019"/>
      <c r="B10" s="2020"/>
      <c r="C10" s="2021"/>
      <c r="D10" s="1143"/>
      <c r="E10" s="1153" t="s">
        <v>591</v>
      </c>
      <c r="F10" s="1154" t="s">
        <v>591</v>
      </c>
      <c r="G10" s="1155" t="s">
        <v>591</v>
      </c>
      <c r="H10" s="1133"/>
      <c r="I10" s="1156"/>
      <c r="J10" s="334"/>
      <c r="K10" s="1156"/>
      <c r="L10" s="1140"/>
      <c r="M10" s="1157" t="s">
        <v>591</v>
      </c>
      <c r="N10" s="1158" t="s">
        <v>591</v>
      </c>
      <c r="O10" s="1156" t="s">
        <v>591</v>
      </c>
      <c r="P10" s="1140"/>
      <c r="Q10" s="1156" t="s">
        <v>591</v>
      </c>
      <c r="R10" s="1142"/>
    </row>
    <row r="11" spans="1:18" ht="18" customHeight="1">
      <c r="A11" s="2044" t="s">
        <v>612</v>
      </c>
      <c r="B11" s="2046" t="s">
        <v>448</v>
      </c>
      <c r="C11" s="2047"/>
      <c r="D11" s="1159"/>
      <c r="E11" s="2048">
        <v>0.52033243997305478</v>
      </c>
      <c r="F11" s="2048">
        <v>2.2199370385022496E-2</v>
      </c>
      <c r="G11" s="2050">
        <v>0.54253181035807729</v>
      </c>
      <c r="H11" s="1160"/>
      <c r="I11" s="1161">
        <v>0.33133295837051591</v>
      </c>
      <c r="J11" s="1136"/>
      <c r="K11" s="1161">
        <v>2.4021255885768755E-2</v>
      </c>
      <c r="L11" s="1142"/>
      <c r="M11" s="1142"/>
      <c r="N11" s="1142"/>
      <c r="O11" s="1142"/>
      <c r="P11" s="1142"/>
      <c r="Q11" s="1142"/>
      <c r="R11" s="1142"/>
    </row>
    <row r="12" spans="1:18" ht="18" customHeight="1">
      <c r="A12" s="2045"/>
      <c r="B12" s="2051" t="s">
        <v>449</v>
      </c>
      <c r="C12" s="2052"/>
      <c r="D12" s="1159"/>
      <c r="E12" s="2049"/>
      <c r="F12" s="2049"/>
      <c r="G12" s="2039"/>
      <c r="H12" s="1160"/>
      <c r="I12" s="1162">
        <v>1.8120928488245529</v>
      </c>
      <c r="J12" s="1136"/>
      <c r="K12" s="1162">
        <v>0</v>
      </c>
      <c r="L12" s="1142"/>
      <c r="M12" s="1142"/>
      <c r="N12" s="1142"/>
      <c r="O12" s="1142"/>
      <c r="P12" s="1142"/>
      <c r="Q12" s="1142"/>
      <c r="R12" s="1142"/>
    </row>
    <row r="13" spans="1:18" ht="18" customHeight="1">
      <c r="A13" s="2044" t="s">
        <v>368</v>
      </c>
      <c r="B13" s="2054" t="s">
        <v>613</v>
      </c>
      <c r="C13" s="2055"/>
      <c r="D13" s="1159"/>
      <c r="E13" s="1163">
        <v>0.18425115170524883</v>
      </c>
      <c r="F13" s="1163">
        <v>1.2465557602764354E-6</v>
      </c>
      <c r="G13" s="1164">
        <v>0.18425239826100911</v>
      </c>
      <c r="H13" s="1160"/>
      <c r="I13" s="1162">
        <v>0.83585088800670704</v>
      </c>
      <c r="J13" s="1136"/>
      <c r="K13" s="1162">
        <v>6.0598221685823211E-2</v>
      </c>
      <c r="L13" s="1142"/>
      <c r="M13" s="1142"/>
      <c r="N13" s="1142"/>
      <c r="O13" s="1142"/>
      <c r="P13" s="1142"/>
      <c r="Q13" s="1142"/>
      <c r="R13" s="1142"/>
    </row>
    <row r="14" spans="1:18" ht="18" customHeight="1">
      <c r="A14" s="2045"/>
      <c r="B14" s="2040" t="s">
        <v>614</v>
      </c>
      <c r="C14" s="2041"/>
      <c r="D14" s="1159"/>
      <c r="E14" s="2056">
        <v>0.17906316791250598</v>
      </c>
      <c r="F14" s="2056">
        <v>5.0684429952913244E-2</v>
      </c>
      <c r="G14" s="2037">
        <v>0.22974759786541923</v>
      </c>
      <c r="H14" s="1160"/>
      <c r="I14" s="1162">
        <v>1.5203846166339463</v>
      </c>
      <c r="J14" s="1136"/>
      <c r="K14" s="1162">
        <v>0</v>
      </c>
      <c r="L14" s="1142"/>
      <c r="M14" s="1142"/>
      <c r="N14" s="1142"/>
      <c r="O14" s="1142"/>
      <c r="P14" s="1142"/>
      <c r="Q14" s="1142"/>
      <c r="R14" s="1142"/>
    </row>
    <row r="15" spans="1:18" ht="18" customHeight="1">
      <c r="A15" s="2045"/>
      <c r="B15" s="2040" t="s">
        <v>615</v>
      </c>
      <c r="C15" s="2041"/>
      <c r="D15" s="1159"/>
      <c r="E15" s="2057"/>
      <c r="F15" s="2057"/>
      <c r="G15" s="2038"/>
      <c r="H15" s="1160"/>
      <c r="I15" s="1162">
        <v>5.3782308199129023</v>
      </c>
      <c r="J15" s="1136"/>
      <c r="K15" s="1162">
        <v>0</v>
      </c>
      <c r="L15" s="1142"/>
      <c r="M15" s="1142"/>
      <c r="N15" s="1142"/>
      <c r="O15" s="1142"/>
      <c r="P15" s="1142"/>
      <c r="Q15" s="1142"/>
      <c r="R15" s="1142"/>
    </row>
    <row r="16" spans="1:18" ht="18" customHeight="1" thickBot="1">
      <c r="A16" s="2053"/>
      <c r="B16" s="2042" t="s">
        <v>453</v>
      </c>
      <c r="C16" s="2043"/>
      <c r="D16" s="1159"/>
      <c r="E16" s="2049"/>
      <c r="F16" s="2049"/>
      <c r="G16" s="2039"/>
      <c r="H16" s="1160"/>
      <c r="I16" s="1165">
        <v>0</v>
      </c>
      <c r="J16" s="1136"/>
      <c r="K16" s="1165">
        <v>0</v>
      </c>
      <c r="L16" s="1142"/>
      <c r="M16" s="1142"/>
      <c r="N16" s="1142"/>
      <c r="O16" s="1142"/>
      <c r="P16" s="1142"/>
      <c r="Q16" s="1142"/>
      <c r="R16" s="1142"/>
    </row>
    <row r="17" spans="1:18" ht="18" customHeight="1">
      <c r="A17" s="2061" t="s">
        <v>616</v>
      </c>
      <c r="B17" s="2046" t="s">
        <v>454</v>
      </c>
      <c r="C17" s="2047"/>
      <c r="D17" s="1166"/>
      <c r="E17" s="1163">
        <v>0.18253447148783758</v>
      </c>
      <c r="F17" s="1163">
        <v>4.0785342111221579E-3</v>
      </c>
      <c r="G17" s="1164">
        <v>0.18661300569895975</v>
      </c>
      <c r="H17" s="1160"/>
      <c r="I17" s="1161">
        <v>1.1210882743694919</v>
      </c>
      <c r="J17" s="1136"/>
      <c r="K17" s="1167">
        <v>8.854872835471804E-2</v>
      </c>
      <c r="L17" s="1142"/>
      <c r="M17" s="1142"/>
      <c r="N17" s="1142"/>
      <c r="O17" s="1142"/>
      <c r="P17" s="1142"/>
      <c r="Q17" s="1142"/>
      <c r="R17" s="1142"/>
    </row>
    <row r="18" spans="1:18" ht="18" customHeight="1">
      <c r="A18" s="2062"/>
      <c r="B18" s="2064" t="s">
        <v>617</v>
      </c>
      <c r="C18" s="2065"/>
      <c r="D18" s="1168"/>
      <c r="E18" s="1163">
        <v>2.6008005271994265E-2</v>
      </c>
      <c r="F18" s="1163">
        <v>0</v>
      </c>
      <c r="G18" s="1169">
        <v>2.6008005271994265E-2</v>
      </c>
      <c r="H18" s="1160"/>
      <c r="I18" s="1162">
        <v>3.9380161267469282</v>
      </c>
      <c r="J18" s="1136"/>
      <c r="K18" s="1162">
        <v>0</v>
      </c>
      <c r="L18" s="1142"/>
      <c r="M18" s="1142"/>
      <c r="N18" s="1142"/>
      <c r="O18" s="1142"/>
      <c r="P18" s="1142"/>
      <c r="Q18" s="1142"/>
      <c r="R18" s="1142"/>
    </row>
    <row r="19" spans="1:18" ht="18" customHeight="1" thickBot="1">
      <c r="A19" s="2063"/>
      <c r="B19" s="2066" t="s">
        <v>618</v>
      </c>
      <c r="C19" s="2067"/>
      <c r="D19" s="1166"/>
      <c r="E19" s="1170">
        <v>0.18499709951634508</v>
      </c>
      <c r="F19" s="1171">
        <v>2.7330157054193531</v>
      </c>
      <c r="G19" s="1172">
        <v>2.9180128049356981</v>
      </c>
      <c r="H19" s="1160"/>
      <c r="I19" s="1165">
        <v>0.22149422987536554</v>
      </c>
      <c r="J19" s="1136"/>
      <c r="K19" s="1173">
        <v>0</v>
      </c>
      <c r="L19" s="1142"/>
      <c r="M19" s="1142"/>
      <c r="N19" s="1142"/>
      <c r="O19" s="1142"/>
      <c r="P19" s="1142"/>
      <c r="Q19" s="1142"/>
      <c r="R19" s="1142"/>
    </row>
    <row r="20" spans="1:18" ht="18" customHeight="1">
      <c r="A20" s="2068" t="s">
        <v>427</v>
      </c>
      <c r="B20" s="2070" t="s">
        <v>454</v>
      </c>
      <c r="C20" s="2071"/>
      <c r="D20" s="1166"/>
      <c r="E20" s="1163">
        <v>3.5598381318475154E-2</v>
      </c>
      <c r="F20" s="1163">
        <v>0.4273664343469406</v>
      </c>
      <c r="G20" s="1174">
        <v>0.46296481566541575</v>
      </c>
      <c r="H20" s="1160"/>
      <c r="I20" s="1161">
        <v>8.2798481827214804E-2</v>
      </c>
      <c r="J20" s="1136"/>
      <c r="K20" s="1161">
        <v>6.0027940736899791E-3</v>
      </c>
      <c r="L20" s="1142"/>
      <c r="M20" s="1142"/>
      <c r="N20" s="1142"/>
      <c r="O20" s="1142"/>
      <c r="P20" s="1142"/>
      <c r="Q20" s="1142"/>
      <c r="R20" s="1142"/>
    </row>
    <row r="21" spans="1:18" ht="18" customHeight="1">
      <c r="A21" s="2061"/>
      <c r="B21" s="1175" t="s">
        <v>619</v>
      </c>
      <c r="C21" s="1176"/>
      <c r="D21" s="1159"/>
      <c r="E21" s="1163">
        <v>0</v>
      </c>
      <c r="F21" s="1163">
        <v>0.11518966204679404</v>
      </c>
      <c r="G21" s="1164">
        <v>0.11518966204679404</v>
      </c>
      <c r="H21" s="1160"/>
      <c r="I21" s="1167">
        <v>0.87942964104800436</v>
      </c>
      <c r="J21" s="1136"/>
      <c r="K21" s="1167">
        <v>0</v>
      </c>
      <c r="L21" s="1142"/>
      <c r="M21" s="1142"/>
      <c r="N21" s="1142"/>
      <c r="O21" s="1142"/>
      <c r="P21" s="1142"/>
      <c r="Q21" s="1142"/>
      <c r="R21" s="1142"/>
    </row>
    <row r="22" spans="1:18" ht="18" customHeight="1">
      <c r="A22" s="2062"/>
      <c r="B22" s="1175" t="s">
        <v>620</v>
      </c>
      <c r="C22" s="1176"/>
      <c r="D22" s="1159"/>
      <c r="E22" s="1163">
        <v>0</v>
      </c>
      <c r="F22" s="1163">
        <v>2.879741551169851E-2</v>
      </c>
      <c r="G22" s="1169">
        <v>2.879741551169851E-2</v>
      </c>
      <c r="H22" s="1160"/>
      <c r="I22" s="1162">
        <v>0.38070624314143275</v>
      </c>
      <c r="J22" s="1136"/>
      <c r="K22" s="1162">
        <v>0</v>
      </c>
      <c r="L22" s="1142"/>
      <c r="M22" s="1142"/>
      <c r="N22" s="1142"/>
      <c r="O22" s="1142"/>
      <c r="P22" s="1142"/>
      <c r="Q22" s="1142"/>
      <c r="R22" s="1142"/>
    </row>
    <row r="23" spans="1:18" ht="18" customHeight="1" thickBot="1">
      <c r="A23" s="2069"/>
      <c r="B23" s="2066" t="s">
        <v>618</v>
      </c>
      <c r="C23" s="2067"/>
      <c r="D23" s="1159"/>
      <c r="E23" s="1170">
        <v>0.26013731831620185</v>
      </c>
      <c r="F23" s="1171">
        <v>0.92631325336741699</v>
      </c>
      <c r="G23" s="1177">
        <v>1.1864505716836189</v>
      </c>
      <c r="H23" s="1160"/>
      <c r="I23" s="1165">
        <v>0.40941682883353286</v>
      </c>
      <c r="J23" s="1136"/>
      <c r="K23" s="1165">
        <v>0</v>
      </c>
      <c r="L23" s="1142"/>
      <c r="M23" s="1142"/>
      <c r="N23" s="1142"/>
      <c r="O23" s="1142"/>
      <c r="P23" s="1142"/>
      <c r="Q23" s="1142"/>
      <c r="R23" s="1142"/>
    </row>
    <row r="24" spans="1:18" ht="18" customHeight="1">
      <c r="A24" s="2072" t="s">
        <v>426</v>
      </c>
      <c r="B24" s="2070" t="s">
        <v>454</v>
      </c>
      <c r="C24" s="2071"/>
      <c r="D24" s="1166"/>
      <c r="E24" s="1163">
        <v>1.7349187499894145E-2</v>
      </c>
      <c r="F24" s="1163">
        <v>0</v>
      </c>
      <c r="G24" s="1164">
        <v>1.7349187499894145E-2</v>
      </c>
      <c r="H24" s="1160"/>
      <c r="I24" s="1167">
        <v>5.1629459647361806E-2</v>
      </c>
      <c r="J24" s="1136"/>
      <c r="K24" s="1167">
        <v>0</v>
      </c>
      <c r="L24" s="1142"/>
      <c r="M24" s="1178"/>
      <c r="N24" s="1178"/>
      <c r="O24" s="1179">
        <v>0</v>
      </c>
      <c r="P24" s="1142"/>
      <c r="Q24" s="1161"/>
      <c r="R24" s="1142"/>
    </row>
    <row r="25" spans="1:18" ht="18" customHeight="1">
      <c r="A25" s="2073"/>
      <c r="B25" s="1175" t="s">
        <v>619</v>
      </c>
      <c r="C25" s="1180"/>
      <c r="D25" s="1159"/>
      <c r="E25" s="1163">
        <v>0</v>
      </c>
      <c r="F25" s="1163">
        <v>0.15620326473788518</v>
      </c>
      <c r="G25" s="1169">
        <v>0.15620326473788518</v>
      </c>
      <c r="H25" s="1160"/>
      <c r="I25" s="1162">
        <v>0.16259708000338929</v>
      </c>
      <c r="J25" s="1136"/>
      <c r="K25" s="1162">
        <v>0</v>
      </c>
      <c r="L25" s="1142"/>
      <c r="M25" s="1181"/>
      <c r="N25" s="1181"/>
      <c r="O25" s="1182">
        <v>0</v>
      </c>
      <c r="P25" s="1142"/>
      <c r="Q25" s="1162"/>
      <c r="R25" s="1142"/>
    </row>
    <row r="26" spans="1:18" ht="18" customHeight="1">
      <c r="A26" s="2073"/>
      <c r="B26" s="1175" t="s">
        <v>620</v>
      </c>
      <c r="C26" s="1180"/>
      <c r="D26" s="1159"/>
      <c r="E26" s="1163">
        <v>0</v>
      </c>
      <c r="F26" s="1163">
        <v>3.9050816184471294E-2</v>
      </c>
      <c r="G26" s="1169">
        <v>3.9050816184471294E-2</v>
      </c>
      <c r="H26" s="1160"/>
      <c r="I26" s="1162">
        <v>7.3832998422352664E-2</v>
      </c>
      <c r="J26" s="1136"/>
      <c r="K26" s="1162">
        <v>0</v>
      </c>
      <c r="L26" s="1142"/>
      <c r="M26" s="1181"/>
      <c r="N26" s="1181"/>
      <c r="O26" s="1182">
        <v>0</v>
      </c>
      <c r="P26" s="1142"/>
      <c r="Q26" s="1162"/>
      <c r="R26" s="1142"/>
    </row>
    <row r="27" spans="1:18" ht="18" customHeight="1" thickBot="1">
      <c r="A27" s="2073"/>
      <c r="B27" s="2066" t="s">
        <v>618</v>
      </c>
      <c r="C27" s="2067"/>
      <c r="D27" s="1159"/>
      <c r="E27" s="1163">
        <v>0</v>
      </c>
      <c r="F27" s="1163">
        <v>1.3575953174206136E-2</v>
      </c>
      <c r="G27" s="1172">
        <v>1.3575953174206136E-2</v>
      </c>
      <c r="H27" s="1160"/>
      <c r="I27" s="1173">
        <v>0.21729886709245469</v>
      </c>
      <c r="J27" s="1136"/>
      <c r="K27" s="1173">
        <v>0</v>
      </c>
      <c r="L27" s="1142"/>
      <c r="M27" s="1183"/>
      <c r="N27" s="1183"/>
      <c r="O27" s="1184">
        <v>0</v>
      </c>
      <c r="P27" s="1142"/>
      <c r="Q27" s="1165"/>
      <c r="R27" s="1142"/>
    </row>
    <row r="28" spans="1:18" ht="18" customHeight="1" thickBot="1">
      <c r="A28" s="2058" t="s">
        <v>621</v>
      </c>
      <c r="B28" s="2059"/>
      <c r="C28" s="2060"/>
      <c r="D28" s="1159"/>
      <c r="E28" s="1163">
        <v>0</v>
      </c>
      <c r="F28" s="1163">
        <v>0</v>
      </c>
      <c r="G28" s="1185">
        <v>0</v>
      </c>
      <c r="H28" s="1160"/>
      <c r="I28" s="1186">
        <v>0</v>
      </c>
      <c r="J28" s="1136"/>
      <c r="K28" s="1186">
        <v>0</v>
      </c>
      <c r="L28" s="1142"/>
      <c r="M28" s="1187"/>
      <c r="N28" s="1187"/>
      <c r="O28" s="1188">
        <v>0</v>
      </c>
      <c r="P28" s="1142"/>
      <c r="Q28" s="1186"/>
      <c r="R28" s="1142"/>
    </row>
    <row r="29" spans="1:18" ht="18" customHeight="1" thickBot="1">
      <c r="A29" s="2058" t="s">
        <v>622</v>
      </c>
      <c r="B29" s="2059"/>
      <c r="C29" s="2060"/>
      <c r="D29" s="1189"/>
      <c r="E29" s="1190"/>
      <c r="F29" s="1191"/>
      <c r="G29" s="1192"/>
      <c r="H29" s="1193"/>
      <c r="I29" s="1194">
        <v>1.2323194978474308</v>
      </c>
      <c r="J29" s="1136"/>
      <c r="K29" s="1194">
        <v>0</v>
      </c>
      <c r="L29" s="1195"/>
      <c r="M29" s="1196"/>
      <c r="N29" s="1197"/>
      <c r="O29" s="1192"/>
      <c r="P29" s="1195"/>
      <c r="Q29" s="1198"/>
      <c r="R29" s="1195"/>
    </row>
    <row r="30" spans="1:18" ht="18" customHeight="1" thickBot="1">
      <c r="A30" s="2058" t="s">
        <v>623</v>
      </c>
      <c r="B30" s="2059"/>
      <c r="C30" s="2060"/>
      <c r="D30" s="1189"/>
      <c r="E30" s="1190"/>
      <c r="F30" s="1199">
        <v>0</v>
      </c>
      <c r="G30" s="1200">
        <v>0</v>
      </c>
      <c r="H30" s="1193"/>
      <c r="I30" s="1201"/>
      <c r="J30" s="1136"/>
      <c r="K30" s="1202"/>
      <c r="L30" s="1195"/>
      <c r="M30" s="1190"/>
      <c r="N30" s="1191"/>
      <c r="O30" s="1192"/>
      <c r="P30" s="1195"/>
      <c r="Q30" s="1203"/>
      <c r="R30" s="1195"/>
    </row>
    <row r="31" spans="1:18" ht="18" customHeight="1" thickBot="1">
      <c r="A31" s="2058" t="s">
        <v>624</v>
      </c>
      <c r="B31" s="2059"/>
      <c r="C31" s="2060"/>
      <c r="D31" s="1189"/>
      <c r="E31" s="1190"/>
      <c r="F31" s="1199"/>
      <c r="G31" s="1188">
        <v>0</v>
      </c>
      <c r="H31" s="1193"/>
      <c r="I31" s="1201"/>
      <c r="J31" s="1136"/>
      <c r="K31" s="1202"/>
      <c r="L31" s="1195"/>
      <c r="M31" s="1190"/>
      <c r="N31" s="1191"/>
      <c r="O31" s="1192"/>
      <c r="P31" s="1195"/>
      <c r="Q31" s="1203"/>
      <c r="R31" s="1195"/>
    </row>
    <row r="32" spans="1:18" ht="18" customHeight="1" thickBot="1">
      <c r="A32" s="2058" t="s">
        <v>625</v>
      </c>
      <c r="B32" s="2059"/>
      <c r="C32" s="2060"/>
      <c r="D32" s="1189"/>
      <c r="E32" s="1190"/>
      <c r="F32" s="1191"/>
      <c r="G32" s="1192"/>
      <c r="H32" s="1193"/>
      <c r="I32" s="1194">
        <v>-1.4375941713976075</v>
      </c>
      <c r="J32" s="1136"/>
      <c r="K32" s="1202"/>
      <c r="L32" s="1195"/>
      <c r="M32" s="1190"/>
      <c r="N32" s="1191"/>
      <c r="O32" s="1192"/>
      <c r="P32" s="1195"/>
      <c r="Q32" s="1203"/>
      <c r="R32" s="1195"/>
    </row>
    <row r="33" spans="1:18" ht="18" customHeight="1" thickBot="1">
      <c r="A33" s="2058" t="s">
        <v>626</v>
      </c>
      <c r="B33" s="2059"/>
      <c r="C33" s="2060"/>
      <c r="D33" s="1189"/>
      <c r="E33" s="1190"/>
      <c r="F33" s="1204"/>
      <c r="G33" s="1188">
        <v>0</v>
      </c>
      <c r="H33" s="1193"/>
      <c r="I33" s="1202"/>
      <c r="J33" s="1136"/>
      <c r="K33" s="1202"/>
      <c r="L33" s="1195"/>
      <c r="M33" s="1190"/>
      <c r="N33" s="1191"/>
      <c r="O33" s="1192"/>
      <c r="P33" s="1195"/>
      <c r="Q33" s="1203"/>
      <c r="R33" s="1195"/>
    </row>
    <row r="34" spans="1:18" ht="18" customHeight="1" thickBot="1">
      <c r="A34" s="2076" t="s">
        <v>220</v>
      </c>
      <c r="B34" s="2077"/>
      <c r="C34" s="2078"/>
      <c r="D34" s="1205"/>
      <c r="E34" s="1206">
        <v>1.5902712230015577</v>
      </c>
      <c r="F34" s="1206">
        <v>4.5164760858935846</v>
      </c>
      <c r="G34" s="1206">
        <v>6.1067473088951436</v>
      </c>
      <c r="H34" s="1207"/>
      <c r="I34" s="1206">
        <v>17.210925689205979</v>
      </c>
      <c r="J34" s="1205"/>
      <c r="K34" s="1206">
        <v>0.17917099999999997</v>
      </c>
      <c r="L34" s="1208"/>
      <c r="M34" s="1206">
        <v>0</v>
      </c>
      <c r="N34" s="1206">
        <v>0</v>
      </c>
      <c r="O34" s="1206">
        <v>0</v>
      </c>
      <c r="P34" s="1208"/>
      <c r="Q34" s="1206">
        <v>0</v>
      </c>
      <c r="R34" s="1208"/>
    </row>
    <row r="35" spans="1:18" ht="15" thickBot="1">
      <c r="A35" s="1142"/>
      <c r="B35" s="1142"/>
      <c r="C35" s="1142"/>
      <c r="D35" s="1209"/>
      <c r="E35" s="1142"/>
      <c r="F35" s="1142"/>
      <c r="G35" s="1210"/>
      <c r="H35" s="1142"/>
      <c r="I35" s="1210"/>
      <c r="J35" s="1140"/>
      <c r="K35" s="1210"/>
      <c r="L35" s="1142"/>
      <c r="M35" s="1142"/>
      <c r="N35" s="1142"/>
      <c r="O35" s="1142"/>
      <c r="P35" s="1142"/>
      <c r="Q35" s="1142"/>
      <c r="R35" s="1142"/>
    </row>
    <row r="36" spans="1:18" ht="30.75" thickBot="1">
      <c r="A36" s="1211"/>
      <c r="B36" s="1211"/>
      <c r="C36" s="1212"/>
      <c r="D36" s="1213"/>
      <c r="E36" s="1214" t="s">
        <v>627</v>
      </c>
      <c r="F36" s="1215"/>
      <c r="G36" s="1215"/>
      <c r="H36" s="1215"/>
      <c r="I36" s="1216" t="s">
        <v>606</v>
      </c>
      <c r="J36" s="1205"/>
      <c r="K36" s="1217" t="s">
        <v>607</v>
      </c>
      <c r="L36" s="1218"/>
      <c r="M36" s="1208"/>
      <c r="N36" s="1208"/>
      <c r="O36" s="1208"/>
      <c r="P36" s="1208"/>
      <c r="Q36" s="1208"/>
      <c r="R36" s="1208"/>
    </row>
    <row r="37" spans="1:18" ht="17.25" customHeight="1" thickBot="1">
      <c r="A37" s="1208"/>
      <c r="B37" s="1218"/>
      <c r="C37" s="1218"/>
      <c r="D37" s="1218"/>
      <c r="E37" s="2079"/>
      <c r="F37" s="2080"/>
      <c r="G37" s="2080"/>
      <c r="H37" s="2081"/>
      <c r="I37" s="1219" t="s">
        <v>591</v>
      </c>
      <c r="J37" s="1205"/>
      <c r="K37" s="1220" t="s">
        <v>591</v>
      </c>
      <c r="L37" s="1208"/>
      <c r="M37" s="1208"/>
      <c r="N37" s="1208"/>
      <c r="O37" s="1208"/>
      <c r="P37" s="1208"/>
      <c r="Q37" s="1208"/>
      <c r="R37" s="1208"/>
    </row>
    <row r="38" spans="1:18" ht="17.25" customHeight="1">
      <c r="A38" s="1142"/>
      <c r="B38" s="1209"/>
      <c r="C38" s="1209"/>
      <c r="D38" s="1209"/>
      <c r="E38" s="2082" t="s">
        <v>628</v>
      </c>
      <c r="F38" s="2083"/>
      <c r="G38" s="2083"/>
      <c r="H38" s="2084"/>
      <c r="I38" s="1221">
        <v>5.9375638778617912</v>
      </c>
      <c r="J38" s="1136"/>
      <c r="K38" s="1167">
        <v>5.3751300000000002E-2</v>
      </c>
      <c r="L38" s="1142"/>
      <c r="M38" s="1142"/>
      <c r="N38" s="1142"/>
      <c r="O38" s="1142"/>
      <c r="P38" s="1142"/>
      <c r="Q38" s="1142"/>
      <c r="R38" s="1142"/>
    </row>
    <row r="39" spans="1:18" ht="17.25" customHeight="1" thickBot="1">
      <c r="A39" s="1142"/>
      <c r="B39" s="1209"/>
      <c r="C39" s="1209"/>
      <c r="D39" s="1209"/>
      <c r="E39" s="2085" t="s">
        <v>629</v>
      </c>
      <c r="F39" s="2086"/>
      <c r="G39" s="2086"/>
      <c r="H39" s="2087"/>
      <c r="I39" s="1222">
        <v>11.27335388249776</v>
      </c>
      <c r="J39" s="1136"/>
      <c r="K39" s="1173">
        <v>0.1254197</v>
      </c>
      <c r="L39" s="1142"/>
      <c r="M39" s="1142"/>
      <c r="N39" s="1142"/>
      <c r="O39" s="1142"/>
      <c r="P39" s="1142"/>
      <c r="Q39" s="1142"/>
      <c r="R39" s="1142"/>
    </row>
    <row r="40" spans="1:18" ht="17.25" customHeight="1" thickBot="1">
      <c r="A40" s="1142"/>
      <c r="B40" s="1205"/>
      <c r="C40" s="1205"/>
      <c r="D40" s="1205"/>
      <c r="E40" s="2088" t="s">
        <v>630</v>
      </c>
      <c r="F40" s="2089"/>
      <c r="G40" s="2089"/>
      <c r="H40" s="2090"/>
      <c r="I40" s="1188">
        <v>17.21091776035955</v>
      </c>
      <c r="J40" s="1136"/>
      <c r="K40" s="1188">
        <v>0.179171</v>
      </c>
      <c r="L40" s="1142"/>
      <c r="M40" s="1142"/>
      <c r="N40" s="1142"/>
      <c r="O40" s="1142"/>
      <c r="P40" s="1142"/>
      <c r="Q40" s="1142"/>
      <c r="R40" s="1142"/>
    </row>
    <row r="41" spans="1:18" ht="15" thickBot="1">
      <c r="A41" s="1142"/>
      <c r="B41" s="1142"/>
      <c r="C41" s="1142"/>
      <c r="D41" s="1209"/>
      <c r="E41" s="1142"/>
      <c r="F41" s="1142"/>
      <c r="G41" s="1142"/>
      <c r="H41" s="1142"/>
      <c r="I41" s="1210"/>
      <c r="J41" s="1223"/>
      <c r="K41" s="1210"/>
      <c r="L41" s="1142"/>
      <c r="M41" s="1142"/>
      <c r="N41" s="1142"/>
      <c r="O41" s="1142"/>
      <c r="P41" s="1142"/>
      <c r="Q41" s="1142"/>
      <c r="R41" s="1142"/>
    </row>
    <row r="42" spans="1:18" ht="20.25">
      <c r="A42" s="1140"/>
      <c r="B42" s="1224"/>
      <c r="C42" s="2091" t="s">
        <v>575</v>
      </c>
      <c r="D42" s="2092"/>
      <c r="E42" s="2092"/>
      <c r="F42" s="2093"/>
      <c r="G42" s="2074" t="s">
        <v>591</v>
      </c>
      <c r="H42" s="1136"/>
      <c r="I42" s="1140"/>
      <c r="J42" s="1140"/>
      <c r="K42" s="1140"/>
      <c r="L42" s="1140"/>
      <c r="M42" s="2091" t="s">
        <v>575</v>
      </c>
      <c r="N42" s="2092"/>
      <c r="O42" s="2074" t="s">
        <v>591</v>
      </c>
      <c r="P42" s="1140"/>
      <c r="Q42" s="1140"/>
      <c r="R42" s="1140"/>
    </row>
    <row r="43" spans="1:18" ht="21" thickBot="1">
      <c r="A43" s="1140"/>
      <c r="B43" s="1224"/>
      <c r="C43" s="2094"/>
      <c r="D43" s="2095"/>
      <c r="E43" s="2095"/>
      <c r="F43" s="2096"/>
      <c r="G43" s="2075"/>
      <c r="H43" s="1136"/>
      <c r="I43" s="1140"/>
      <c r="J43" s="1140"/>
      <c r="K43" s="1140"/>
      <c r="L43" s="1140"/>
      <c r="M43" s="2094"/>
      <c r="N43" s="2095"/>
      <c r="O43" s="2075"/>
      <c r="P43" s="1140"/>
      <c r="Q43" s="1140"/>
      <c r="R43" s="1140"/>
    </row>
    <row r="44" spans="1:18" ht="18" customHeight="1" thickBot="1">
      <c r="A44" s="1140"/>
      <c r="B44" s="1225"/>
      <c r="C44" s="2097" t="s">
        <v>244</v>
      </c>
      <c r="D44" s="2098"/>
      <c r="E44" s="2098"/>
      <c r="F44" s="2099"/>
      <c r="G44" s="1221">
        <v>0.65887043882025875</v>
      </c>
      <c r="H44" s="1136"/>
      <c r="I44" s="1140"/>
      <c r="J44" s="1140"/>
      <c r="K44" s="1140"/>
      <c r="L44" s="1140"/>
      <c r="M44" s="2100" t="s">
        <v>426</v>
      </c>
      <c r="N44" s="2101"/>
      <c r="O44" s="1187"/>
      <c r="P44" s="1140"/>
      <c r="Q44" s="1140"/>
      <c r="R44" s="1140"/>
    </row>
    <row r="45" spans="1:18" ht="18" customHeight="1" thickBot="1">
      <c r="A45" s="1140"/>
      <c r="B45" s="1225"/>
      <c r="C45" s="2097" t="s">
        <v>245</v>
      </c>
      <c r="D45" s="2098"/>
      <c r="E45" s="2098"/>
      <c r="F45" s="2099"/>
      <c r="G45" s="1226">
        <v>0.63796925816372496</v>
      </c>
      <c r="H45" s="1136"/>
      <c r="I45" s="1140"/>
      <c r="J45" s="1140"/>
      <c r="K45" s="1140"/>
      <c r="L45" s="1140"/>
      <c r="M45" s="1140"/>
      <c r="N45" s="1140"/>
      <c r="O45" s="1140"/>
      <c r="P45" s="1140"/>
      <c r="Q45" s="1140"/>
      <c r="R45" s="1140"/>
    </row>
    <row r="46" spans="1:18" ht="18" customHeight="1" thickBot="1">
      <c r="A46" s="1140"/>
      <c r="B46" s="1225"/>
      <c r="C46" s="2097" t="s">
        <v>427</v>
      </c>
      <c r="D46" s="2098"/>
      <c r="E46" s="2098"/>
      <c r="F46" s="2099"/>
      <c r="G46" s="1226">
        <v>0.19667798902214875</v>
      </c>
      <c r="H46" s="1136"/>
      <c r="I46" s="1140"/>
      <c r="J46" s="1140"/>
      <c r="K46" s="1140"/>
      <c r="L46" s="1140"/>
      <c r="M46" s="1140"/>
      <c r="N46" s="1140"/>
      <c r="O46" s="1140"/>
      <c r="P46" s="1140"/>
      <c r="Q46" s="1140"/>
      <c r="R46" s="1140"/>
    </row>
    <row r="47" spans="1:18" ht="18" customHeight="1" thickBot="1">
      <c r="A47" s="1140"/>
      <c r="B47" s="1225"/>
      <c r="C47" s="2097" t="s">
        <v>426</v>
      </c>
      <c r="D47" s="2098"/>
      <c r="E47" s="2098"/>
      <c r="F47" s="2099"/>
      <c r="G47" s="1222">
        <v>0.23546657743475496</v>
      </c>
      <c r="H47" s="1136"/>
      <c r="I47" s="1140"/>
      <c r="J47" s="1140"/>
      <c r="K47" s="1140"/>
      <c r="L47" s="1140"/>
      <c r="M47" s="1140"/>
      <c r="N47" s="1140"/>
      <c r="O47" s="1140"/>
      <c r="P47" s="1140"/>
      <c r="Q47" s="1140"/>
      <c r="R47" s="1140"/>
    </row>
    <row r="48" spans="1:18" ht="18" customHeight="1" thickBot="1">
      <c r="A48" s="1140"/>
      <c r="B48" s="1227"/>
      <c r="C48" s="2102" t="s">
        <v>631</v>
      </c>
      <c r="D48" s="2103"/>
      <c r="E48" s="2103"/>
      <c r="F48" s="2104"/>
      <c r="G48" s="1228">
        <v>1.7289842634408874</v>
      </c>
      <c r="H48" s="1136"/>
      <c r="I48" s="1140"/>
      <c r="J48" s="1140"/>
      <c r="K48" s="1140"/>
      <c r="L48" s="1140"/>
      <c r="M48" s="1140"/>
      <c r="N48" s="1140"/>
      <c r="O48" s="1140"/>
      <c r="P48" s="1140"/>
      <c r="Q48" s="1140"/>
      <c r="R48" s="1140"/>
    </row>
    <row r="49" spans="1:18" ht="15">
      <c r="A49" s="1229"/>
      <c r="B49" s="1229"/>
      <c r="C49" s="1229"/>
      <c r="D49" s="1229"/>
      <c r="E49" s="1229"/>
      <c r="F49" s="1229"/>
      <c r="G49" s="1210"/>
      <c r="H49" s="1230"/>
      <c r="I49" s="1231"/>
      <c r="J49" s="1231"/>
      <c r="K49" s="1231"/>
      <c r="L49" s="1232"/>
      <c r="M49" s="1142"/>
      <c r="N49" s="1142"/>
      <c r="O49" s="1142"/>
      <c r="P49" s="1142"/>
      <c r="Q49" s="1142"/>
      <c r="R49" s="1142"/>
    </row>
    <row r="50" spans="1:18" ht="13.5" thickBot="1"/>
    <row r="51" spans="1:18" ht="14.25">
      <c r="E51" s="2097"/>
      <c r="F51" s="2098"/>
      <c r="G51" s="2098"/>
      <c r="H51" s="2099"/>
    </row>
  </sheetData>
  <mergeCells count="52">
    <mergeCell ref="E51:H51"/>
    <mergeCell ref="C44:F44"/>
    <mergeCell ref="M44:N44"/>
    <mergeCell ref="C45:F45"/>
    <mergeCell ref="C46:F46"/>
    <mergeCell ref="C47:F47"/>
    <mergeCell ref="C48:F48"/>
    <mergeCell ref="O42:O43"/>
    <mergeCell ref="A31:C31"/>
    <mergeCell ref="A32:C32"/>
    <mergeCell ref="A33:C33"/>
    <mergeCell ref="A34:C34"/>
    <mergeCell ref="E37:H37"/>
    <mergeCell ref="E38:H38"/>
    <mergeCell ref="E39:H39"/>
    <mergeCell ref="E40:H40"/>
    <mergeCell ref="C42:F43"/>
    <mergeCell ref="G42:G43"/>
    <mergeCell ref="M42:N43"/>
    <mergeCell ref="A30:C30"/>
    <mergeCell ref="A17:A19"/>
    <mergeCell ref="B17:C17"/>
    <mergeCell ref="B18:C18"/>
    <mergeCell ref="B19:C19"/>
    <mergeCell ref="A20:A23"/>
    <mergeCell ref="B20:C20"/>
    <mergeCell ref="B23:C23"/>
    <mergeCell ref="A24:A27"/>
    <mergeCell ref="B24:C24"/>
    <mergeCell ref="B27:C27"/>
    <mergeCell ref="A28:C28"/>
    <mergeCell ref="A29:C29"/>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9:C10"/>
    <mergeCell ref="E7:G7"/>
    <mergeCell ref="I7:K7"/>
    <mergeCell ref="M7:Q7"/>
    <mergeCell ref="E8:G8"/>
    <mergeCell ref="M8:O8"/>
  </mergeCells>
  <phoneticPr fontId="2" type="noConversion"/>
  <dataValidations count="1">
    <dataValidation type="decimal" operator="lessThanOrEqual" allowBlank="1" showInputMessage="1" showErrorMessage="1" sqref="I32">
      <formula1>0</formula1>
    </dataValidation>
  </dataValidations>
  <pageMargins left="0.75" right="0.75" top="1" bottom="1" header="0.5" footer="0.5"/>
  <pageSetup paperSize="9" scale="3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5FFFF"/>
    <pageSetUpPr fitToPage="1"/>
  </sheetPr>
  <dimension ref="A1:N89"/>
  <sheetViews>
    <sheetView zoomScale="60" zoomScaleNormal="60" workbookViewId="0">
      <selection activeCell="AD54" sqref="AD54"/>
    </sheetView>
  </sheetViews>
  <sheetFormatPr defaultColWidth="8.85546875" defaultRowHeight="12.75"/>
  <cols>
    <col min="1" max="1" width="8.85546875" customWidth="1"/>
    <col min="2" max="2" width="8.85546875" hidden="1" customWidth="1"/>
    <col min="3" max="3" width="74.85546875" bestFit="1" customWidth="1"/>
    <col min="4" max="4" width="42" customWidth="1"/>
  </cols>
  <sheetData>
    <row r="1" spans="1:14" s="442" customFormat="1">
      <c r="A1" s="1126" t="s">
        <v>551</v>
      </c>
      <c r="E1" s="1127"/>
    </row>
    <row r="2" spans="1:14">
      <c r="A2" s="408"/>
    </row>
    <row r="3" spans="1:14">
      <c r="A3" s="408" t="s">
        <v>101</v>
      </c>
    </row>
    <row r="5" spans="1:14" ht="20.25">
      <c r="A5" s="1233" t="s">
        <v>632</v>
      </c>
      <c r="B5" s="1234"/>
      <c r="C5" s="1234"/>
      <c r="D5" s="1235"/>
      <c r="E5" s="1234"/>
      <c r="F5" s="1234"/>
      <c r="G5" s="1234"/>
      <c r="H5" s="1234"/>
      <c r="I5" s="1234"/>
      <c r="J5" s="1234"/>
      <c r="K5" s="1234"/>
      <c r="L5" s="1234"/>
      <c r="M5" s="1236"/>
      <c r="N5" s="1236"/>
    </row>
    <row r="6" spans="1:14" ht="21" thickBot="1">
      <c r="A6" s="1233"/>
      <c r="B6" s="1234"/>
      <c r="C6" s="1234"/>
      <c r="D6" s="1235"/>
      <c r="E6" s="1234"/>
      <c r="F6" s="1234"/>
      <c r="G6" s="1234"/>
      <c r="H6" s="1234"/>
      <c r="I6" s="1234"/>
      <c r="J6" s="1234"/>
      <c r="K6" s="1234"/>
      <c r="L6" s="1234"/>
      <c r="M6" s="1236"/>
      <c r="N6" s="1236"/>
    </row>
    <row r="7" spans="1:14" ht="18.75" thickBot="1">
      <c r="A7" s="1237"/>
      <c r="B7" s="1237"/>
      <c r="C7" s="2107" t="s">
        <v>633</v>
      </c>
      <c r="D7" s="2108"/>
      <c r="E7" s="1238"/>
      <c r="F7" s="1238"/>
      <c r="G7" s="1238"/>
      <c r="H7" s="1238"/>
      <c r="I7" s="1238"/>
      <c r="J7" s="1238"/>
      <c r="K7" s="1238"/>
      <c r="L7" s="1239"/>
      <c r="M7" s="1237"/>
      <c r="N7" s="1237"/>
    </row>
    <row r="8" spans="1:14" ht="99.75" thickBot="1">
      <c r="A8" s="1237"/>
      <c r="B8" s="1237"/>
      <c r="C8" s="2016" t="s">
        <v>634</v>
      </c>
      <c r="D8" s="2018"/>
      <c r="E8" s="1240" t="s">
        <v>635</v>
      </c>
      <c r="F8" s="1241" t="s">
        <v>636</v>
      </c>
      <c r="G8" s="1241" t="s">
        <v>637</v>
      </c>
      <c r="H8" s="1240" t="s">
        <v>638</v>
      </c>
      <c r="I8" s="1241" t="s">
        <v>639</v>
      </c>
      <c r="J8" s="1242" t="s">
        <v>640</v>
      </c>
      <c r="K8" s="1243" t="s">
        <v>641</v>
      </c>
      <c r="L8" s="1244" t="s">
        <v>220</v>
      </c>
      <c r="M8" s="1237"/>
      <c r="N8" s="1237"/>
    </row>
    <row r="9" spans="1:14" ht="15.75" thickBot="1">
      <c r="A9" s="1237"/>
      <c r="B9" s="1237"/>
      <c r="C9" s="2019"/>
      <c r="D9" s="2021"/>
      <c r="E9" s="1245" t="s">
        <v>591</v>
      </c>
      <c r="F9" s="1246" t="s">
        <v>591</v>
      </c>
      <c r="G9" s="1246" t="s">
        <v>591</v>
      </c>
      <c r="H9" s="1245" t="s">
        <v>591</v>
      </c>
      <c r="I9" s="1246" t="s">
        <v>591</v>
      </c>
      <c r="J9" s="1246" t="s">
        <v>591</v>
      </c>
      <c r="K9" s="1247" t="s">
        <v>591</v>
      </c>
      <c r="L9" s="1248" t="s">
        <v>591</v>
      </c>
      <c r="M9" s="1237"/>
      <c r="N9" s="1237"/>
    </row>
    <row r="10" spans="1:14" ht="15">
      <c r="A10" s="1237"/>
      <c r="B10" s="1237"/>
      <c r="C10" s="2109" t="s">
        <v>642</v>
      </c>
      <c r="D10" s="2110"/>
      <c r="E10" s="1249"/>
      <c r="F10" s="1250"/>
      <c r="G10" s="1250"/>
      <c r="H10" s="1249"/>
      <c r="I10" s="1250"/>
      <c r="J10" s="1251"/>
      <c r="K10" s="1251"/>
      <c r="L10" s="1252">
        <f t="shared" ref="L10" si="0">SUM(E10:K10)</f>
        <v>0</v>
      </c>
      <c r="M10" s="1237"/>
      <c r="N10" s="1237"/>
    </row>
    <row r="11" spans="1:14" ht="14.25">
      <c r="A11" s="1237"/>
      <c r="B11" s="1237"/>
      <c r="C11" s="2111" t="s">
        <v>265</v>
      </c>
      <c r="D11" s="2112"/>
      <c r="E11" s="1253">
        <v>19.553231472380414</v>
      </c>
      <c r="F11" s="1253">
        <v>11.419735837268016</v>
      </c>
      <c r="G11" s="1253">
        <v>1.0181504028354396</v>
      </c>
      <c r="H11" s="1253">
        <v>0</v>
      </c>
      <c r="I11" s="1254"/>
      <c r="J11" s="1255"/>
      <c r="K11" s="1256"/>
      <c r="L11" s="1257">
        <v>31.99111771248387</v>
      </c>
      <c r="M11" s="1237"/>
      <c r="N11" s="1237"/>
    </row>
    <row r="12" spans="1:14" ht="14.25">
      <c r="A12" s="1237"/>
      <c r="B12" s="1237"/>
      <c r="C12" s="2111" t="s">
        <v>269</v>
      </c>
      <c r="D12" s="2112"/>
      <c r="E12" s="1253">
        <v>4.8858017841760244</v>
      </c>
      <c r="F12" s="1253">
        <v>1.7785972336794111</v>
      </c>
      <c r="G12" s="1253">
        <v>7.9391938508412245</v>
      </c>
      <c r="H12" s="1253">
        <v>0</v>
      </c>
      <c r="I12" s="1254"/>
      <c r="J12" s="1255"/>
      <c r="K12" s="1256"/>
      <c r="L12" s="1257">
        <v>14.60359286869666</v>
      </c>
      <c r="M12" s="1237"/>
      <c r="N12" s="1237"/>
    </row>
    <row r="13" spans="1:14" ht="14.25">
      <c r="A13" s="1237"/>
      <c r="B13" s="1237"/>
      <c r="C13" s="2111" t="s">
        <v>271</v>
      </c>
      <c r="D13" s="2112"/>
      <c r="E13" s="1253">
        <v>0</v>
      </c>
      <c r="F13" s="1253">
        <v>5.2524770587155448E-2</v>
      </c>
      <c r="G13" s="1253">
        <v>2.7454528819332271</v>
      </c>
      <c r="H13" s="1253">
        <v>0</v>
      </c>
      <c r="I13" s="1254"/>
      <c r="J13" s="1255"/>
      <c r="K13" s="1256"/>
      <c r="L13" s="1257">
        <v>2.7979776525203826</v>
      </c>
      <c r="M13" s="1237"/>
      <c r="N13" s="1237"/>
    </row>
    <row r="14" spans="1:14" ht="14.25">
      <c r="A14" s="1237"/>
      <c r="B14" s="1237"/>
      <c r="C14" s="2105" t="s">
        <v>273</v>
      </c>
      <c r="D14" s="2106"/>
      <c r="E14" s="1253">
        <v>4.4971044776271895E-6</v>
      </c>
      <c r="F14" s="1253">
        <v>0</v>
      </c>
      <c r="G14" s="1253">
        <v>5.2754013112341626E-5</v>
      </c>
      <c r="H14" s="1253">
        <v>0</v>
      </c>
      <c r="I14" s="1254"/>
      <c r="J14" s="1255"/>
      <c r="K14" s="1256"/>
      <c r="L14" s="1257">
        <v>5.7251117589968813E-5</v>
      </c>
      <c r="M14" s="1237"/>
      <c r="N14" s="1237"/>
    </row>
    <row r="15" spans="1:14" ht="15">
      <c r="A15" s="1237"/>
      <c r="B15" s="1237"/>
      <c r="C15" s="2113" t="s">
        <v>643</v>
      </c>
      <c r="D15" s="2114"/>
      <c r="E15" s="1258"/>
      <c r="F15" s="1259"/>
      <c r="G15" s="1259"/>
      <c r="H15" s="1258"/>
      <c r="I15" s="1254"/>
      <c r="J15" s="1255"/>
      <c r="K15" s="1256"/>
      <c r="L15" s="1260">
        <v>0</v>
      </c>
      <c r="M15" s="1237"/>
      <c r="N15" s="1237"/>
    </row>
    <row r="16" spans="1:14" ht="14.25">
      <c r="A16" s="1237"/>
      <c r="B16" s="1237"/>
      <c r="C16" s="2105" t="s">
        <v>368</v>
      </c>
      <c r="D16" s="2106"/>
      <c r="E16" s="1261"/>
      <c r="F16" s="1254"/>
      <c r="G16" s="1254"/>
      <c r="H16" s="1254"/>
      <c r="I16" s="1253">
        <v>0.2246509313515678</v>
      </c>
      <c r="J16" s="1253">
        <v>0</v>
      </c>
      <c r="K16" s="1256"/>
      <c r="L16" s="1257">
        <v>0.2246509313515678</v>
      </c>
      <c r="M16" s="1237"/>
      <c r="N16" s="1237"/>
    </row>
    <row r="17" spans="1:14" ht="14.25">
      <c r="A17" s="1237"/>
      <c r="B17" s="1237"/>
      <c r="C17" s="2105" t="s">
        <v>369</v>
      </c>
      <c r="D17" s="2106"/>
      <c r="E17" s="1261"/>
      <c r="F17" s="1254"/>
      <c r="G17" s="1254"/>
      <c r="H17" s="1254"/>
      <c r="I17" s="1253">
        <v>3.2944577357553961</v>
      </c>
      <c r="J17" s="1253">
        <v>0.37104529143275222</v>
      </c>
      <c r="K17" s="1256"/>
      <c r="L17" s="1257">
        <v>3.6655030271881484</v>
      </c>
      <c r="M17" s="1237"/>
      <c r="N17" s="1237"/>
    </row>
    <row r="18" spans="1:14" ht="14.25">
      <c r="A18" s="1237"/>
      <c r="B18" s="1237"/>
      <c r="C18" s="2105" t="s">
        <v>370</v>
      </c>
      <c r="D18" s="2106"/>
      <c r="E18" s="1261"/>
      <c r="F18" s="1254"/>
      <c r="G18" s="1254"/>
      <c r="H18" s="1254"/>
      <c r="I18" s="1253">
        <v>4.0676559712714866</v>
      </c>
      <c r="J18" s="1253">
        <v>5.7657703640106125E-2</v>
      </c>
      <c r="K18" s="1256"/>
      <c r="L18" s="1257">
        <v>4.1253136749115926</v>
      </c>
      <c r="M18" s="1237"/>
      <c r="N18" s="1237"/>
    </row>
    <row r="19" spans="1:14" ht="14.25">
      <c r="A19" s="1237"/>
      <c r="B19" s="1237"/>
      <c r="C19" s="2105" t="s">
        <v>371</v>
      </c>
      <c r="D19" s="2106"/>
      <c r="E19" s="1261"/>
      <c r="F19" s="1254"/>
      <c r="G19" s="1254"/>
      <c r="H19" s="1254"/>
      <c r="I19" s="1253">
        <v>19.310107863221326</v>
      </c>
      <c r="J19" s="1253">
        <v>0</v>
      </c>
      <c r="K19" s="1256"/>
      <c r="L19" s="1257">
        <v>19.310107863221326</v>
      </c>
      <c r="M19" s="1237"/>
      <c r="N19" s="1237"/>
    </row>
    <row r="20" spans="1:14" ht="15">
      <c r="A20" s="1237"/>
      <c r="B20" s="1237"/>
      <c r="C20" s="2113" t="s">
        <v>641</v>
      </c>
      <c r="D20" s="2114"/>
      <c r="E20" s="1262"/>
      <c r="F20" s="1263"/>
      <c r="G20" s="1263"/>
      <c r="H20" s="1263"/>
      <c r="I20" s="1263"/>
      <c r="J20" s="1256"/>
      <c r="K20" s="1253">
        <v>6.2180071494739426</v>
      </c>
      <c r="L20" s="1257">
        <v>6.2180071494739426</v>
      </c>
      <c r="M20" s="1237"/>
      <c r="N20" s="1237"/>
    </row>
    <row r="21" spans="1:14" ht="15">
      <c r="A21" s="1237"/>
      <c r="B21" s="1237"/>
      <c r="C21" s="2113" t="s">
        <v>644</v>
      </c>
      <c r="D21" s="2114"/>
      <c r="E21" s="1264">
        <v>24.439037753660916</v>
      </c>
      <c r="F21" s="1264">
        <v>13.250857841534582</v>
      </c>
      <c r="G21" s="1264">
        <v>11.702849889623003</v>
      </c>
      <c r="H21" s="1264">
        <v>0</v>
      </c>
      <c r="I21" s="1264">
        <v>26.896872501599777</v>
      </c>
      <c r="J21" s="1264">
        <v>0.42870299507285836</v>
      </c>
      <c r="K21" s="1265">
        <v>6.2180071494739426</v>
      </c>
      <c r="L21" s="1266">
        <v>82.93632813096508</v>
      </c>
      <c r="M21" s="1267"/>
      <c r="N21" s="1237"/>
    </row>
    <row r="22" spans="1:14" ht="15" customHeight="1">
      <c r="A22" s="1237"/>
      <c r="B22" s="1237"/>
      <c r="C22" s="2105" t="s">
        <v>645</v>
      </c>
      <c r="D22" s="2106"/>
      <c r="E22" s="1253">
        <v>0</v>
      </c>
      <c r="F22" s="1254"/>
      <c r="G22" s="1253">
        <v>0</v>
      </c>
      <c r="H22" s="1253">
        <v>0</v>
      </c>
      <c r="I22" s="1253">
        <v>0</v>
      </c>
      <c r="J22" s="1253">
        <v>0</v>
      </c>
      <c r="K22" s="1253">
        <v>0</v>
      </c>
      <c r="L22" s="1257">
        <v>0</v>
      </c>
      <c r="M22" s="1267"/>
      <c r="N22" s="1237"/>
    </row>
    <row r="23" spans="1:14" ht="15">
      <c r="A23" s="1237"/>
      <c r="B23" s="1237"/>
      <c r="C23" s="2113" t="s">
        <v>646</v>
      </c>
      <c r="D23" s="2114"/>
      <c r="E23" s="1264">
        <v>24.439037753660916</v>
      </c>
      <c r="F23" s="1268">
        <v>13.250857841534582</v>
      </c>
      <c r="G23" s="1268">
        <v>11.702849889623003</v>
      </c>
      <c r="H23" s="1268">
        <v>0</v>
      </c>
      <c r="I23" s="1268">
        <v>26.896872501599777</v>
      </c>
      <c r="J23" s="1268">
        <v>0.42870299507285836</v>
      </c>
      <c r="K23" s="1269">
        <v>6.2180071494739426</v>
      </c>
      <c r="L23" s="1266">
        <v>82.93632813096508</v>
      </c>
      <c r="M23" s="1270"/>
      <c r="N23" s="1237"/>
    </row>
    <row r="24" spans="1:14" ht="15.75" thickBot="1">
      <c r="A24" s="1237"/>
      <c r="B24" s="1237"/>
      <c r="C24" s="2105" t="s">
        <v>647</v>
      </c>
      <c r="D24" s="2106"/>
      <c r="E24" s="1253">
        <v>-40.2733475889925</v>
      </c>
      <c r="F24" s="1253">
        <v>-13.189215551007493</v>
      </c>
      <c r="G24" s="1253">
        <v>-7.6111455399999999</v>
      </c>
      <c r="H24" s="1271"/>
      <c r="I24" s="1272"/>
      <c r="J24" s="1272"/>
      <c r="K24" s="1253">
        <v>-6.8928000000000011</v>
      </c>
      <c r="L24" s="1273">
        <v>-67.966508680000004</v>
      </c>
      <c r="M24" s="1274"/>
      <c r="N24" s="1237"/>
    </row>
    <row r="25" spans="1:14" ht="15.75" thickBot="1">
      <c r="A25" s="1237"/>
      <c r="B25" s="1237"/>
      <c r="C25" s="2113" t="s">
        <v>648</v>
      </c>
      <c r="D25" s="2114"/>
      <c r="E25" s="1275">
        <v>-15.834309835331585</v>
      </c>
      <c r="F25" s="1276">
        <v>6.1642290527089472E-2</v>
      </c>
      <c r="G25" s="1276">
        <v>4.0917043496230034</v>
      </c>
      <c r="H25" s="1276">
        <v>0</v>
      </c>
      <c r="I25" s="1276">
        <v>26.896872501599777</v>
      </c>
      <c r="J25" s="1276">
        <v>0.42870299507285836</v>
      </c>
      <c r="K25" s="1277">
        <v>-0.67479285052605853</v>
      </c>
      <c r="L25" s="1278">
        <v>14.969819450965087</v>
      </c>
      <c r="M25" s="1270"/>
      <c r="N25" s="1237"/>
    </row>
    <row r="26" spans="1:14" ht="15.75" thickBot="1">
      <c r="A26" s="1237"/>
      <c r="B26" s="1237"/>
      <c r="C26" s="1229"/>
      <c r="D26" s="1229"/>
      <c r="E26" s="1279"/>
      <c r="F26" s="1279"/>
      <c r="G26" s="1280"/>
      <c r="H26" s="1281"/>
      <c r="I26" s="1237"/>
      <c r="J26" s="1237"/>
      <c r="K26" s="1237"/>
      <c r="L26" s="1237"/>
      <c r="M26" s="1237"/>
      <c r="N26" s="1237"/>
    </row>
    <row r="27" spans="1:14" ht="18.75" thickBot="1">
      <c r="A27" s="1237"/>
      <c r="B27" s="1237"/>
      <c r="C27" s="2118" t="s">
        <v>649</v>
      </c>
      <c r="D27" s="2119"/>
      <c r="E27" s="1282"/>
      <c r="F27" s="1282"/>
      <c r="G27" s="1283"/>
      <c r="H27" s="1237"/>
      <c r="I27" s="1237"/>
      <c r="J27" s="1237"/>
      <c r="K27" s="1237"/>
      <c r="L27" s="1284"/>
      <c r="M27" s="1237"/>
      <c r="N27" s="1237"/>
    </row>
    <row r="28" spans="1:14" ht="18" customHeight="1" thickBot="1">
      <c r="A28" s="1237"/>
      <c r="B28" s="1237"/>
      <c r="C28" s="2016" t="s">
        <v>634</v>
      </c>
      <c r="D28" s="2018"/>
      <c r="E28" s="2122" t="s">
        <v>650</v>
      </c>
      <c r="F28" s="2123"/>
      <c r="G28" s="1285"/>
      <c r="H28" s="1237"/>
      <c r="I28" s="1237"/>
      <c r="J28" s="1237"/>
      <c r="K28" s="1237"/>
      <c r="L28" s="1284"/>
      <c r="M28" s="1237"/>
      <c r="N28" s="1237"/>
    </row>
    <row r="29" spans="1:14" ht="45.75" thickBot="1">
      <c r="A29" s="1237"/>
      <c r="B29" s="1237"/>
      <c r="C29" s="2120"/>
      <c r="D29" s="2121"/>
      <c r="E29" s="1286" t="s">
        <v>651</v>
      </c>
      <c r="F29" s="1286" t="s">
        <v>652</v>
      </c>
      <c r="G29" s="1286" t="s">
        <v>653</v>
      </c>
      <c r="H29" s="1237"/>
      <c r="I29" s="1237"/>
      <c r="J29" s="1237"/>
      <c r="K29" s="1237"/>
      <c r="L29" s="1284"/>
      <c r="M29" s="1237"/>
      <c r="N29" s="1237"/>
    </row>
    <row r="30" spans="1:14" ht="15.75" thickBot="1">
      <c r="A30" s="1237"/>
      <c r="B30" s="1237"/>
      <c r="C30" s="2019"/>
      <c r="D30" s="2021"/>
      <c r="E30" s="1287" t="s">
        <v>591</v>
      </c>
      <c r="F30" s="1287" t="s">
        <v>591</v>
      </c>
      <c r="G30" s="1287" t="s">
        <v>591</v>
      </c>
      <c r="H30" s="1237"/>
      <c r="I30" s="1237"/>
      <c r="J30" s="1237"/>
      <c r="K30" s="1237"/>
      <c r="L30" s="1284"/>
      <c r="M30" s="1237"/>
      <c r="N30" s="1237"/>
    </row>
    <row r="31" spans="1:14" s="442" customFormat="1" ht="18" customHeight="1">
      <c r="A31" s="1142"/>
      <c r="B31" s="1142"/>
      <c r="C31" s="2124" t="s">
        <v>447</v>
      </c>
      <c r="D31" s="1288" t="s">
        <v>448</v>
      </c>
      <c r="E31" s="1289">
        <v>0.44808719704037192</v>
      </c>
      <c r="F31" s="1253">
        <v>0</v>
      </c>
      <c r="G31" s="1290">
        <v>0.44808719704037192</v>
      </c>
      <c r="H31" s="1142"/>
      <c r="I31" s="1142"/>
      <c r="J31" s="1142"/>
      <c r="K31" s="1142"/>
      <c r="L31" s="1208"/>
      <c r="M31" s="1142"/>
      <c r="N31" s="1142"/>
    </row>
    <row r="32" spans="1:14" s="442" customFormat="1" ht="18" customHeight="1" thickBot="1">
      <c r="A32" s="1142"/>
      <c r="B32" s="1142"/>
      <c r="C32" s="2125"/>
      <c r="D32" s="1291" t="s">
        <v>449</v>
      </c>
      <c r="E32" s="1292">
        <v>2.9936154664476931</v>
      </c>
      <c r="F32" s="1292">
        <v>2.1922316234681701E-3</v>
      </c>
      <c r="G32" s="1293">
        <v>2.9958076980711614</v>
      </c>
      <c r="H32" s="1142"/>
      <c r="I32" s="1142"/>
      <c r="J32" s="1142"/>
      <c r="K32" s="1142"/>
      <c r="L32" s="1208"/>
      <c r="M32" s="1142"/>
      <c r="N32" s="1142"/>
    </row>
    <row r="33" spans="1:14" s="442" customFormat="1" ht="18" customHeight="1">
      <c r="A33" s="1142"/>
      <c r="B33" s="1142"/>
      <c r="C33" s="2124" t="s">
        <v>450</v>
      </c>
      <c r="D33" s="1288" t="s">
        <v>448</v>
      </c>
      <c r="E33" s="1289">
        <v>0</v>
      </c>
      <c r="F33" s="1253">
        <v>0</v>
      </c>
      <c r="G33" s="1290">
        <v>0</v>
      </c>
      <c r="H33" s="1142"/>
      <c r="I33" s="1142"/>
      <c r="J33" s="1142"/>
      <c r="K33" s="1142"/>
      <c r="L33" s="1208"/>
      <c r="M33" s="1142"/>
      <c r="N33" s="1142"/>
    </row>
    <row r="34" spans="1:14" s="442" customFormat="1" ht="18" customHeight="1" thickBot="1">
      <c r="A34" s="1142"/>
      <c r="B34" s="1142"/>
      <c r="C34" s="2125"/>
      <c r="D34" s="1291" t="s">
        <v>449</v>
      </c>
      <c r="E34" s="1292">
        <v>0.35633144762327634</v>
      </c>
      <c r="F34" s="1292">
        <v>0</v>
      </c>
      <c r="G34" s="1293">
        <v>0.35633144762327634</v>
      </c>
      <c r="H34" s="1142"/>
      <c r="I34" s="1142"/>
      <c r="J34" s="1142"/>
      <c r="K34" s="1142"/>
      <c r="L34" s="1208"/>
      <c r="M34" s="1142"/>
      <c r="N34" s="1142"/>
    </row>
    <row r="35" spans="1:14" s="442" customFormat="1" ht="18" customHeight="1">
      <c r="A35" s="1142"/>
      <c r="B35" s="1142"/>
      <c r="C35" s="2115" t="s">
        <v>368</v>
      </c>
      <c r="D35" s="1288" t="s">
        <v>613</v>
      </c>
      <c r="E35" s="1289">
        <v>1.144180319598318</v>
      </c>
      <c r="F35" s="1253">
        <v>1.1141881648570558E-2</v>
      </c>
      <c r="G35" s="1290">
        <v>1.1553222012468887</v>
      </c>
      <c r="H35" s="1142"/>
      <c r="I35" s="1142"/>
      <c r="J35" s="1142"/>
      <c r="K35" s="1142"/>
      <c r="L35" s="1208"/>
      <c r="M35" s="1142"/>
      <c r="N35" s="1142"/>
    </row>
    <row r="36" spans="1:14" s="442" customFormat="1" ht="18" customHeight="1">
      <c r="A36" s="1142"/>
      <c r="B36" s="1142"/>
      <c r="C36" s="2116"/>
      <c r="D36" s="1294" t="s">
        <v>654</v>
      </c>
      <c r="E36" s="1289">
        <v>2.1066574651408567</v>
      </c>
      <c r="F36" s="1253">
        <v>4.3893149134805176</v>
      </c>
      <c r="G36" s="1257">
        <v>6.4959723786213743</v>
      </c>
      <c r="H36" s="1142"/>
      <c r="I36" s="1142"/>
      <c r="J36" s="1142"/>
      <c r="K36" s="1142"/>
      <c r="L36" s="1208"/>
      <c r="M36" s="1142"/>
      <c r="N36" s="1142"/>
    </row>
    <row r="37" spans="1:14" s="442" customFormat="1" ht="18" customHeight="1" thickBot="1">
      <c r="A37" s="1142"/>
      <c r="B37" s="1142"/>
      <c r="C37" s="2117"/>
      <c r="D37" s="1295" t="s">
        <v>453</v>
      </c>
      <c r="E37" s="1292">
        <v>0.39135948330497683</v>
      </c>
      <c r="F37" s="1292">
        <v>3.4484982697774226E-5</v>
      </c>
      <c r="G37" s="1293">
        <v>0.39139396828767459</v>
      </c>
      <c r="H37" s="1142"/>
      <c r="I37" s="1142"/>
      <c r="J37" s="1142"/>
      <c r="K37" s="1142"/>
      <c r="L37" s="1208"/>
      <c r="M37" s="1142"/>
      <c r="N37" s="1142"/>
    </row>
    <row r="38" spans="1:14" s="442" customFormat="1" ht="18" customHeight="1">
      <c r="A38" s="1142"/>
      <c r="B38" s="1142"/>
      <c r="C38" s="2115" t="s">
        <v>245</v>
      </c>
      <c r="D38" s="1288" t="s">
        <v>454</v>
      </c>
      <c r="E38" s="1289">
        <v>3.4026867884553718</v>
      </c>
      <c r="F38" s="1253">
        <v>0.10029300000000001</v>
      </c>
      <c r="G38" s="1290">
        <v>3.5029797884553719</v>
      </c>
      <c r="H38" s="1142"/>
      <c r="I38" s="1142"/>
      <c r="J38" s="1142"/>
      <c r="K38" s="1142"/>
      <c r="L38" s="1208"/>
      <c r="M38" s="1142"/>
      <c r="N38" s="1142"/>
    </row>
    <row r="39" spans="1:14" s="442" customFormat="1" ht="18" customHeight="1">
      <c r="A39" s="1142"/>
      <c r="B39" s="1142"/>
      <c r="C39" s="2116"/>
      <c r="D39" s="1294" t="s">
        <v>617</v>
      </c>
      <c r="E39" s="1289">
        <v>2.3622165648736089</v>
      </c>
      <c r="F39" s="1253">
        <v>0.24253409203749013</v>
      </c>
      <c r="G39" s="1257">
        <v>2.604750656911099</v>
      </c>
      <c r="H39" s="1142"/>
      <c r="I39" s="1142"/>
      <c r="J39" s="1142"/>
      <c r="K39" s="1142"/>
      <c r="L39" s="1208"/>
      <c r="M39" s="1142"/>
      <c r="N39" s="1142"/>
    </row>
    <row r="40" spans="1:14" s="442" customFormat="1" ht="18" customHeight="1">
      <c r="A40" s="1142"/>
      <c r="B40" s="1142"/>
      <c r="C40" s="2116"/>
      <c r="D40" s="1296" t="s">
        <v>455</v>
      </c>
      <c r="E40" s="1289">
        <v>0</v>
      </c>
      <c r="F40" s="1253">
        <v>0</v>
      </c>
      <c r="G40" s="1257">
        <v>0</v>
      </c>
      <c r="H40" s="1142"/>
      <c r="I40" s="1142"/>
      <c r="J40" s="1142"/>
      <c r="K40" s="1142"/>
      <c r="L40" s="1208"/>
      <c r="M40" s="1142"/>
      <c r="N40" s="1142"/>
    </row>
    <row r="41" spans="1:14" s="442" customFormat="1" ht="18" customHeight="1">
      <c r="A41" s="1142"/>
      <c r="B41" s="1142"/>
      <c r="C41" s="2116"/>
      <c r="D41" s="1296" t="s">
        <v>453</v>
      </c>
      <c r="E41" s="1289">
        <v>3.2624663172500248</v>
      </c>
      <c r="F41" s="1253">
        <v>0.10018634958919283</v>
      </c>
      <c r="G41" s="1257">
        <v>3.3626526668392178</v>
      </c>
      <c r="H41" s="1142"/>
      <c r="I41" s="1142"/>
      <c r="J41" s="1142"/>
      <c r="K41" s="1142"/>
      <c r="L41" s="1208"/>
      <c r="M41" s="1142"/>
      <c r="N41" s="1142"/>
    </row>
    <row r="42" spans="1:14" s="442" customFormat="1" ht="18" customHeight="1">
      <c r="A42" s="1142"/>
      <c r="B42" s="1142"/>
      <c r="C42" s="2116"/>
      <c r="D42" s="1294" t="s">
        <v>456</v>
      </c>
      <c r="E42" s="1289">
        <v>0.84310614350525226</v>
      </c>
      <c r="F42" s="1253">
        <v>7.020998950358133E-2</v>
      </c>
      <c r="G42" s="1257">
        <v>0.91331613300883363</v>
      </c>
      <c r="H42" s="1142"/>
      <c r="I42" s="1142"/>
      <c r="J42" s="1142"/>
      <c r="K42" s="1142"/>
      <c r="L42" s="1208"/>
      <c r="M42" s="1142"/>
      <c r="N42" s="1142"/>
    </row>
    <row r="43" spans="1:14" s="442" customFormat="1" ht="18" customHeight="1" thickBot="1">
      <c r="A43" s="1142"/>
      <c r="B43" s="1142"/>
      <c r="C43" s="2117"/>
      <c r="D43" s="1291" t="s">
        <v>457</v>
      </c>
      <c r="E43" s="1292">
        <v>5.4091528071062109</v>
      </c>
      <c r="F43" s="1292">
        <v>0</v>
      </c>
      <c r="G43" s="1293">
        <v>5.4091528071062109</v>
      </c>
      <c r="H43" s="1142"/>
      <c r="I43" s="1142"/>
      <c r="J43" s="1142"/>
      <c r="K43" s="1142"/>
      <c r="L43" s="1208"/>
      <c r="M43" s="1142"/>
      <c r="N43" s="1142"/>
    </row>
    <row r="44" spans="1:14" s="442" customFormat="1" ht="18" customHeight="1">
      <c r="A44" s="1142"/>
      <c r="B44" s="1142"/>
      <c r="C44" s="2115" t="s">
        <v>427</v>
      </c>
      <c r="D44" s="1288" t="s">
        <v>454</v>
      </c>
      <c r="E44" s="1289">
        <v>0.93196617727390996</v>
      </c>
      <c r="F44" s="1253">
        <v>0</v>
      </c>
      <c r="G44" s="1290">
        <v>0.93196617727390996</v>
      </c>
      <c r="H44" s="1142"/>
      <c r="I44" s="1142"/>
      <c r="J44" s="1142"/>
      <c r="K44" s="1142"/>
      <c r="L44" s="1208"/>
      <c r="M44" s="1142"/>
      <c r="N44" s="1142"/>
    </row>
    <row r="45" spans="1:14" s="442" customFormat="1" ht="18" customHeight="1">
      <c r="A45" s="1142"/>
      <c r="B45" s="1142"/>
      <c r="C45" s="2116"/>
      <c r="D45" s="1294" t="s">
        <v>617</v>
      </c>
      <c r="E45" s="1289">
        <v>5.0250118695964039</v>
      </c>
      <c r="F45" s="1253">
        <v>0</v>
      </c>
      <c r="G45" s="1257">
        <v>5.0250118695964039</v>
      </c>
      <c r="H45" s="1142"/>
      <c r="I45" s="1142"/>
      <c r="J45" s="1142"/>
      <c r="K45" s="1142"/>
      <c r="L45" s="1208"/>
      <c r="M45" s="1142"/>
      <c r="N45" s="1142"/>
    </row>
    <row r="46" spans="1:14" s="442" customFormat="1" ht="18" customHeight="1">
      <c r="A46" s="1142"/>
      <c r="B46" s="1142"/>
      <c r="C46" s="2116"/>
      <c r="D46" s="1294" t="s">
        <v>455</v>
      </c>
      <c r="E46" s="1289">
        <v>0</v>
      </c>
      <c r="F46" s="1253">
        <v>0</v>
      </c>
      <c r="G46" s="1257">
        <v>0</v>
      </c>
      <c r="H46" s="1142"/>
      <c r="I46" s="1142"/>
      <c r="J46" s="1142"/>
      <c r="K46" s="1142"/>
      <c r="L46" s="1208"/>
      <c r="M46" s="1142"/>
      <c r="N46" s="1142"/>
    </row>
    <row r="47" spans="1:14" s="442" customFormat="1" ht="18" customHeight="1">
      <c r="A47" s="1142"/>
      <c r="B47" s="1142"/>
      <c r="C47" s="2116"/>
      <c r="D47" s="1294" t="s">
        <v>453</v>
      </c>
      <c r="E47" s="1289">
        <v>1.1958971517073076</v>
      </c>
      <c r="F47" s="1253">
        <v>0</v>
      </c>
      <c r="G47" s="1257">
        <v>1.1958971517073076</v>
      </c>
      <c r="H47" s="1142"/>
      <c r="I47" s="1142"/>
      <c r="J47" s="1142"/>
      <c r="K47" s="1142"/>
      <c r="L47" s="1208"/>
      <c r="M47" s="1142"/>
      <c r="N47" s="1142"/>
    </row>
    <row r="48" spans="1:14" s="442" customFormat="1" ht="18" customHeight="1">
      <c r="A48" s="1142"/>
      <c r="B48" s="1142"/>
      <c r="C48" s="2116"/>
      <c r="D48" s="1294" t="s">
        <v>456</v>
      </c>
      <c r="E48" s="1289">
        <v>1.1940553388939679</v>
      </c>
      <c r="F48" s="1253">
        <v>0</v>
      </c>
      <c r="G48" s="1257">
        <v>1.1940553388939679</v>
      </c>
      <c r="H48" s="1142"/>
      <c r="I48" s="1142"/>
      <c r="J48" s="1142"/>
      <c r="K48" s="1142"/>
      <c r="L48" s="1208"/>
      <c r="M48" s="1142"/>
      <c r="N48" s="1142"/>
    </row>
    <row r="49" spans="1:14" s="442" customFormat="1" ht="18" customHeight="1" thickBot="1">
      <c r="A49" s="1142"/>
      <c r="B49" s="1142"/>
      <c r="C49" s="2117"/>
      <c r="D49" s="1295" t="s">
        <v>457</v>
      </c>
      <c r="E49" s="1292">
        <v>2.135379546153533</v>
      </c>
      <c r="F49" s="1292">
        <v>0</v>
      </c>
      <c r="G49" s="1293">
        <v>2.135379546153533</v>
      </c>
      <c r="H49" s="1142"/>
      <c r="I49" s="1142"/>
      <c r="J49" s="1142"/>
      <c r="K49" s="1142"/>
      <c r="L49" s="1208"/>
      <c r="M49" s="1142"/>
      <c r="N49" s="1142"/>
    </row>
    <row r="50" spans="1:14" s="442" customFormat="1" ht="18" customHeight="1">
      <c r="A50" s="1142"/>
      <c r="B50" s="1142"/>
      <c r="C50" s="2115" t="s">
        <v>426</v>
      </c>
      <c r="D50" s="1288" t="s">
        <v>454</v>
      </c>
      <c r="E50" s="1289">
        <v>1.5229223498011433</v>
      </c>
      <c r="F50" s="1253">
        <v>0</v>
      </c>
      <c r="G50" s="1290">
        <v>1.5229223498011433</v>
      </c>
      <c r="H50" s="1142"/>
      <c r="I50" s="1142"/>
      <c r="J50" s="1142"/>
      <c r="K50" s="1142"/>
      <c r="L50" s="1208"/>
      <c r="M50" s="1142"/>
      <c r="N50" s="1142"/>
    </row>
    <row r="51" spans="1:14" s="442" customFormat="1" ht="18" customHeight="1">
      <c r="A51" s="1142"/>
      <c r="B51" s="1142"/>
      <c r="C51" s="2116"/>
      <c r="D51" s="1294" t="s">
        <v>617</v>
      </c>
      <c r="E51" s="1289">
        <v>3.8784986560213537</v>
      </c>
      <c r="F51" s="1253">
        <v>0</v>
      </c>
      <c r="G51" s="1257">
        <v>3.8784986560213537</v>
      </c>
      <c r="H51" s="1142"/>
      <c r="I51" s="1142"/>
      <c r="J51" s="1142"/>
      <c r="K51" s="1142"/>
      <c r="L51" s="1208"/>
      <c r="M51" s="1142"/>
      <c r="N51" s="1142"/>
    </row>
    <row r="52" spans="1:14" s="442" customFormat="1" ht="18" customHeight="1">
      <c r="A52" s="1142"/>
      <c r="B52" s="1142"/>
      <c r="C52" s="2116"/>
      <c r="D52" s="1296" t="s">
        <v>655</v>
      </c>
      <c r="E52" s="1289">
        <v>0</v>
      </c>
      <c r="F52" s="1253">
        <v>0</v>
      </c>
      <c r="G52" s="1257">
        <v>0</v>
      </c>
      <c r="H52" s="1142"/>
      <c r="I52" s="1142"/>
      <c r="J52" s="1142"/>
      <c r="K52" s="1142"/>
      <c r="L52" s="1208"/>
      <c r="M52" s="1142"/>
      <c r="N52" s="1142"/>
    </row>
    <row r="53" spans="1:14" s="442" customFormat="1" ht="18" customHeight="1">
      <c r="A53" s="1142"/>
      <c r="B53" s="1142"/>
      <c r="C53" s="2116"/>
      <c r="D53" s="1296" t="s">
        <v>453</v>
      </c>
      <c r="E53" s="1289">
        <v>3.6233309664563258</v>
      </c>
      <c r="F53" s="1253">
        <v>0</v>
      </c>
      <c r="G53" s="1257">
        <v>3.6233309664563258</v>
      </c>
      <c r="H53" s="1142"/>
      <c r="I53" s="1142"/>
      <c r="J53" s="1142"/>
      <c r="K53" s="1142"/>
      <c r="L53" s="1208"/>
      <c r="M53" s="1142"/>
      <c r="N53" s="1142"/>
    </row>
    <row r="54" spans="1:14" s="442" customFormat="1" ht="18" customHeight="1">
      <c r="A54" s="1142"/>
      <c r="B54" s="1142"/>
      <c r="C54" s="2116"/>
      <c r="D54" s="1296" t="s">
        <v>456</v>
      </c>
      <c r="E54" s="1289">
        <v>0.43285122137289139</v>
      </c>
      <c r="F54" s="1253">
        <v>0</v>
      </c>
      <c r="G54" s="1257">
        <v>0.43285122137289139</v>
      </c>
      <c r="H54" s="1142"/>
      <c r="I54" s="1142"/>
      <c r="J54" s="1142"/>
      <c r="K54" s="1142"/>
      <c r="L54" s="1208"/>
      <c r="M54" s="1142"/>
      <c r="N54" s="1142"/>
    </row>
    <row r="55" spans="1:14" s="442" customFormat="1" ht="18" customHeight="1" thickBot="1">
      <c r="A55" s="1142"/>
      <c r="B55" s="1142"/>
      <c r="C55" s="2117"/>
      <c r="D55" s="1295" t="s">
        <v>457</v>
      </c>
      <c r="E55" s="1289">
        <v>1.6394007251871514</v>
      </c>
      <c r="F55" s="1253">
        <v>0</v>
      </c>
      <c r="G55" s="1257">
        <v>1.6394007251871514</v>
      </c>
      <c r="H55" s="1142"/>
      <c r="I55" s="1142"/>
      <c r="J55" s="1142"/>
      <c r="K55" s="1142"/>
      <c r="L55" s="1208"/>
      <c r="M55" s="1142"/>
      <c r="N55" s="1142"/>
    </row>
    <row r="56" spans="1:14" s="442" customFormat="1" ht="18" customHeight="1" thickBot="1">
      <c r="A56" s="1142"/>
      <c r="B56" s="1142"/>
      <c r="C56" s="2076" t="s">
        <v>656</v>
      </c>
      <c r="D56" s="2078"/>
      <c r="E56" s="1297">
        <v>44.299174002809949</v>
      </c>
      <c r="F56" s="1297">
        <v>4.9159069428655187</v>
      </c>
      <c r="G56" s="1297">
        <v>49.215080945675467</v>
      </c>
      <c r="H56" s="1298"/>
      <c r="I56" s="1142"/>
      <c r="J56" s="1142"/>
      <c r="K56" s="1142"/>
      <c r="L56" s="1142"/>
      <c r="M56" s="1208"/>
      <c r="N56" s="1142"/>
    </row>
    <row r="57" spans="1:14" s="442" customFormat="1" ht="18" customHeight="1" thickBot="1">
      <c r="A57" s="1142"/>
      <c r="B57" s="1142"/>
      <c r="C57" s="2128" t="s">
        <v>647</v>
      </c>
      <c r="D57" s="2129"/>
      <c r="E57" s="1289">
        <v>-1.5631310000000002E-2</v>
      </c>
      <c r="F57" s="1253">
        <v>0</v>
      </c>
      <c r="G57" s="1257">
        <v>-1.5631310000000002E-2</v>
      </c>
      <c r="H57" s="1298"/>
      <c r="I57" s="1298"/>
      <c r="J57" s="1298"/>
      <c r="K57" s="1142"/>
      <c r="L57" s="1142"/>
      <c r="M57" s="1208"/>
      <c r="N57" s="1142"/>
    </row>
    <row r="58" spans="1:14" s="442" customFormat="1" ht="18" customHeight="1" thickBot="1">
      <c r="A58" s="1142"/>
      <c r="B58" s="1142"/>
      <c r="C58" s="2076" t="s">
        <v>657</v>
      </c>
      <c r="D58" s="2078"/>
      <c r="E58" s="1297">
        <v>44.283542692809945</v>
      </c>
      <c r="F58" s="1297">
        <v>4.9159069428655187</v>
      </c>
      <c r="G58" s="1297">
        <v>49.199449635675464</v>
      </c>
      <c r="H58" s="1142"/>
      <c r="I58" s="1142"/>
      <c r="J58" s="1142"/>
      <c r="K58" s="1142"/>
      <c r="L58" s="1208"/>
      <c r="M58" s="1142"/>
      <c r="N58" s="1142"/>
    </row>
    <row r="59" spans="1:14" s="442" customFormat="1" ht="18" customHeight="1" thickBot="1">
      <c r="C59" s="2130"/>
      <c r="D59" s="2130"/>
    </row>
    <row r="60" spans="1:14" s="442" customFormat="1" ht="18" customHeight="1" thickBot="1">
      <c r="A60" s="1142"/>
      <c r="B60" s="1142"/>
      <c r="C60" s="2131" t="s">
        <v>658</v>
      </c>
      <c r="D60" s="2132"/>
      <c r="E60" s="1299" t="s">
        <v>244</v>
      </c>
      <c r="F60" s="1299" t="s">
        <v>245</v>
      </c>
      <c r="G60" s="1299" t="s">
        <v>427</v>
      </c>
      <c r="H60" s="1299" t="s">
        <v>426</v>
      </c>
      <c r="I60" s="1299" t="s">
        <v>220</v>
      </c>
      <c r="J60" s="1142"/>
      <c r="K60" s="1142"/>
      <c r="L60" s="1142"/>
      <c r="M60" s="1208"/>
      <c r="N60" s="1142"/>
    </row>
    <row r="61" spans="1:14" s="442" customFormat="1" ht="18" customHeight="1" thickBot="1">
      <c r="A61" s="1142"/>
      <c r="B61" s="1142"/>
      <c r="C61" s="2133" t="s">
        <v>634</v>
      </c>
      <c r="D61" s="2134"/>
      <c r="E61" s="1220" t="s">
        <v>591</v>
      </c>
      <c r="F61" s="1220" t="s">
        <v>591</v>
      </c>
      <c r="G61" s="1220" t="s">
        <v>591</v>
      </c>
      <c r="H61" s="1220" t="s">
        <v>591</v>
      </c>
      <c r="I61" s="1220" t="s">
        <v>591</v>
      </c>
      <c r="J61" s="1142"/>
      <c r="K61" s="1142"/>
      <c r="L61" s="1142"/>
      <c r="M61" s="1142"/>
      <c r="N61" s="1208"/>
    </row>
    <row r="62" spans="1:14" s="442" customFormat="1" ht="18" customHeight="1">
      <c r="A62" s="1142"/>
      <c r="B62" s="1142"/>
      <c r="C62" s="2135" t="s">
        <v>659</v>
      </c>
      <c r="D62" s="2136"/>
      <c r="E62" s="1289">
        <v>4.8661316149128934E-2</v>
      </c>
      <c r="F62" s="1253">
        <v>0.60351263311352998</v>
      </c>
      <c r="G62" s="1253">
        <v>0</v>
      </c>
      <c r="H62" s="1253">
        <v>9.1138597349677639E-3</v>
      </c>
      <c r="I62" s="1300">
        <v>0.66128780899762674</v>
      </c>
      <c r="J62" s="1142"/>
      <c r="K62" s="1142"/>
      <c r="L62" s="1142"/>
      <c r="M62" s="1142"/>
      <c r="N62" s="1208"/>
    </row>
    <row r="63" spans="1:14" s="442" customFormat="1" ht="18" customHeight="1">
      <c r="A63" s="1142"/>
      <c r="B63" s="1142"/>
      <c r="C63" s="2126" t="s">
        <v>660</v>
      </c>
      <c r="D63" s="2127"/>
      <c r="E63" s="1289">
        <v>7.1027282547661127E-3</v>
      </c>
      <c r="F63" s="1253">
        <v>0.2027828429656873</v>
      </c>
      <c r="G63" s="1253">
        <v>0.11180673211614993</v>
      </c>
      <c r="H63" s="1253">
        <v>0.10059860438270779</v>
      </c>
      <c r="I63" s="1266">
        <v>0.4222909077193111</v>
      </c>
      <c r="J63" s="1142"/>
      <c r="K63" s="1142"/>
      <c r="L63" s="1142"/>
      <c r="M63" s="1142"/>
      <c r="N63" s="1208"/>
    </row>
    <row r="64" spans="1:14" s="442" customFormat="1" ht="18" customHeight="1">
      <c r="A64" s="1142"/>
      <c r="B64" s="1142"/>
      <c r="C64" s="2126" t="s">
        <v>661</v>
      </c>
      <c r="D64" s="2127"/>
      <c r="E64" s="1289">
        <v>0</v>
      </c>
      <c r="F64" s="1253">
        <v>1.6703329368818517E-2</v>
      </c>
      <c r="G64" s="1253">
        <v>2.1540312868729892</v>
      </c>
      <c r="H64" s="1253">
        <v>1.5332488206301627</v>
      </c>
      <c r="I64" s="1266">
        <v>3.7039834368719706</v>
      </c>
      <c r="J64" s="1142"/>
      <c r="K64" s="1142"/>
      <c r="L64" s="1142"/>
      <c r="M64" s="1142"/>
      <c r="N64" s="1208"/>
    </row>
    <row r="65" spans="1:14" s="442" customFormat="1" ht="18" customHeight="1">
      <c r="A65" s="1142"/>
      <c r="B65" s="1142"/>
      <c r="C65" s="2126" t="s">
        <v>662</v>
      </c>
      <c r="D65" s="2127"/>
      <c r="E65" s="1289">
        <v>4.861966332623702E-5</v>
      </c>
      <c r="F65" s="1253">
        <v>0.13333093959172307</v>
      </c>
      <c r="G65" s="1253">
        <v>1.5592703345169084E-4</v>
      </c>
      <c r="H65" s="1253">
        <v>0</v>
      </c>
      <c r="I65" s="1266">
        <v>0.13353548628850098</v>
      </c>
      <c r="J65" s="1142"/>
      <c r="K65" s="1142"/>
      <c r="L65" s="1142"/>
      <c r="M65" s="1142"/>
      <c r="N65" s="1208"/>
    </row>
    <row r="66" spans="1:14" s="442" customFormat="1" ht="18" customHeight="1">
      <c r="A66" s="1142"/>
      <c r="B66" s="1142"/>
      <c r="C66" s="2126" t="s">
        <v>490</v>
      </c>
      <c r="D66" s="2127"/>
      <c r="E66" s="1289">
        <v>2.4725052200271822</v>
      </c>
      <c r="F66" s="1253">
        <v>0.37839999999999996</v>
      </c>
      <c r="G66" s="1253">
        <v>0</v>
      </c>
      <c r="H66" s="1253">
        <v>0</v>
      </c>
      <c r="I66" s="1266">
        <v>2.8509052200271823</v>
      </c>
      <c r="J66" s="1142"/>
      <c r="K66" s="1142"/>
      <c r="L66" s="1142"/>
      <c r="M66" s="1142"/>
      <c r="N66" s="1208"/>
    </row>
    <row r="67" spans="1:14" s="442" customFormat="1" ht="18" customHeight="1">
      <c r="A67" s="1142"/>
      <c r="B67" s="1142"/>
      <c r="C67" s="2126" t="s">
        <v>663</v>
      </c>
      <c r="D67" s="2127"/>
      <c r="E67" s="1289">
        <v>0</v>
      </c>
      <c r="F67" s="1253">
        <v>0</v>
      </c>
      <c r="G67" s="1253">
        <v>0</v>
      </c>
      <c r="H67" s="1253">
        <v>0</v>
      </c>
      <c r="I67" s="1266">
        <v>0</v>
      </c>
      <c r="J67" s="1142"/>
      <c r="K67" s="1142"/>
      <c r="L67" s="1142"/>
      <c r="M67" s="1142"/>
      <c r="N67" s="1208"/>
    </row>
    <row r="68" spans="1:14" s="442" customFormat="1" ht="18" customHeight="1">
      <c r="A68" s="1142"/>
      <c r="B68" s="1142"/>
      <c r="C68" s="2126" t="s">
        <v>664</v>
      </c>
      <c r="D68" s="2127"/>
      <c r="E68" s="1289">
        <v>0</v>
      </c>
      <c r="F68" s="1253">
        <v>0.82576845200793592</v>
      </c>
      <c r="G68" s="1253">
        <v>0.85068876664371018</v>
      </c>
      <c r="H68" s="1253">
        <v>0.82576845200793592</v>
      </c>
      <c r="I68" s="1266">
        <v>2.5022256706595822</v>
      </c>
      <c r="J68" s="1142"/>
      <c r="K68" s="1142"/>
      <c r="L68" s="1142"/>
      <c r="M68" s="1142"/>
      <c r="N68" s="1208"/>
    </row>
    <row r="69" spans="1:14" s="442" customFormat="1" ht="18" customHeight="1">
      <c r="A69" s="1142"/>
      <c r="B69" s="1142"/>
      <c r="C69" s="2126" t="s">
        <v>665</v>
      </c>
      <c r="D69" s="2127"/>
      <c r="E69" s="1289">
        <v>1.249351063204748</v>
      </c>
      <c r="F69" s="1253">
        <v>1.7250726601557405</v>
      </c>
      <c r="G69" s="1253">
        <v>0.16508007547681552</v>
      </c>
      <c r="H69" s="1253">
        <v>0.13737320019651775</v>
      </c>
      <c r="I69" s="1273">
        <v>3.276876999033822</v>
      </c>
      <c r="J69" s="1142"/>
      <c r="K69" s="1142"/>
      <c r="L69" s="1142"/>
      <c r="M69" s="1142"/>
      <c r="N69" s="1208"/>
    </row>
    <row r="70" spans="1:14" s="442" customFormat="1" ht="18" customHeight="1" thickBot="1">
      <c r="A70" s="1142"/>
      <c r="B70" s="1142"/>
      <c r="C70" s="2139" t="s">
        <v>666</v>
      </c>
      <c r="D70" s="2140"/>
      <c r="E70" s="1289">
        <v>0.31780475187639662</v>
      </c>
      <c r="F70" s="1253">
        <v>1.1637064437933533</v>
      </c>
      <c r="G70" s="1253">
        <v>0.73911426780239686</v>
      </c>
      <c r="H70" s="1253">
        <v>0.60386841073674202</v>
      </c>
      <c r="I70" s="1301">
        <v>2.8244938742088888</v>
      </c>
      <c r="J70" s="1142"/>
      <c r="K70" s="1142"/>
      <c r="L70" s="1142"/>
      <c r="M70" s="1142"/>
      <c r="N70" s="1208"/>
    </row>
    <row r="71" spans="1:14" s="442" customFormat="1" ht="18" customHeight="1" thickBot="1">
      <c r="A71" s="1142"/>
      <c r="B71" s="1142"/>
      <c r="C71" s="2137" t="s">
        <v>667</v>
      </c>
      <c r="D71" s="2138"/>
      <c r="E71" s="1278">
        <v>4.0954736991755478</v>
      </c>
      <c r="F71" s="1278">
        <v>5.0492773009967884</v>
      </c>
      <c r="G71" s="1278">
        <v>4.0208770559455136</v>
      </c>
      <c r="H71" s="1278">
        <v>3.2099713476890344</v>
      </c>
      <c r="I71" s="1278">
        <v>16.375599403806884</v>
      </c>
      <c r="J71" s="1142"/>
      <c r="K71" s="1142"/>
      <c r="L71" s="1142"/>
      <c r="M71" s="1142"/>
      <c r="N71" s="1208"/>
    </row>
    <row r="72" spans="1:14" s="442" customFormat="1" ht="18" customHeight="1" thickBot="1">
      <c r="A72" s="1142"/>
      <c r="B72" s="1142"/>
      <c r="C72" s="2141" t="s">
        <v>647</v>
      </c>
      <c r="D72" s="2142"/>
      <c r="E72" s="1289">
        <v>0</v>
      </c>
      <c r="F72" s="1253">
        <v>-3.6392279999999999E-2</v>
      </c>
      <c r="G72" s="1253">
        <v>0</v>
      </c>
      <c r="H72" s="1253">
        <v>0</v>
      </c>
      <c r="I72" s="1278">
        <v>-3.6392279999999999E-2</v>
      </c>
      <c r="J72" s="1142"/>
      <c r="K72" s="1142"/>
      <c r="L72" s="1142"/>
      <c r="M72" s="1208"/>
      <c r="N72" s="1142"/>
    </row>
    <row r="73" spans="1:14" s="442" customFormat="1" ht="18" customHeight="1" thickBot="1">
      <c r="A73" s="1142"/>
      <c r="B73" s="1142"/>
      <c r="C73" s="2137" t="s">
        <v>668</v>
      </c>
      <c r="D73" s="2138"/>
      <c r="E73" s="1302">
        <v>4.0954736991755478</v>
      </c>
      <c r="F73" s="1302">
        <v>5.0128850209967881</v>
      </c>
      <c r="G73" s="1302">
        <v>4.0208770559455136</v>
      </c>
      <c r="H73" s="1302">
        <v>3.2099713476890344</v>
      </c>
      <c r="I73" s="1302">
        <v>16.339207123806883</v>
      </c>
      <c r="J73" s="1142"/>
      <c r="K73" s="1142"/>
      <c r="L73" s="1142"/>
      <c r="M73" s="1208"/>
      <c r="N73" s="1142"/>
    </row>
    <row r="74" spans="1:14" s="442" customFormat="1" ht="18" customHeight="1" thickBot="1">
      <c r="A74" s="1142"/>
      <c r="B74" s="1142"/>
      <c r="C74" s="1303"/>
      <c r="D74" s="1304"/>
      <c r="E74" s="1305"/>
      <c r="F74" s="1305"/>
      <c r="G74" s="1305"/>
      <c r="H74" s="1306"/>
      <c r="I74" s="1306"/>
      <c r="J74" s="1307"/>
      <c r="K74" s="1307"/>
      <c r="L74" s="1142"/>
      <c r="M74" s="1142"/>
      <c r="N74" s="1142"/>
    </row>
    <row r="75" spans="1:14" s="442" customFormat="1" ht="18" customHeight="1" thickBot="1">
      <c r="A75" s="1142"/>
      <c r="B75" s="1142"/>
      <c r="C75" s="2137" t="s">
        <v>669</v>
      </c>
      <c r="D75" s="2138"/>
      <c r="E75" s="1308">
        <f>+I71+G56</f>
        <v>65.590680349482355</v>
      </c>
      <c r="F75" s="1274"/>
      <c r="G75" s="1237"/>
      <c r="H75" s="1237"/>
      <c r="I75" s="1237"/>
      <c r="J75" s="1142"/>
      <c r="K75" s="1142"/>
      <c r="L75" s="1142"/>
      <c r="M75" s="1208"/>
      <c r="N75" s="1142"/>
    </row>
    <row r="76" spans="1:14" s="442" customFormat="1" ht="18" customHeight="1" thickBot="1">
      <c r="A76" s="1142"/>
      <c r="B76" s="1142"/>
      <c r="C76" s="2137" t="s">
        <v>647</v>
      </c>
      <c r="D76" s="2138"/>
      <c r="E76" s="1309">
        <v>-5.2023590000000001E-2</v>
      </c>
      <c r="F76" s="1274"/>
      <c r="G76" s="1237"/>
      <c r="H76" s="1237"/>
      <c r="I76" s="1237"/>
      <c r="J76" s="1142"/>
      <c r="K76" s="1142"/>
      <c r="L76" s="1142"/>
      <c r="M76" s="1208"/>
      <c r="N76" s="1142"/>
    </row>
    <row r="77" spans="1:14" s="442" customFormat="1" ht="18" customHeight="1" thickBot="1">
      <c r="A77" s="1142"/>
      <c r="B77" s="1142"/>
      <c r="C77" s="2137" t="s">
        <v>670</v>
      </c>
      <c r="D77" s="2138"/>
      <c r="E77" s="1302">
        <v>65.53865675948235</v>
      </c>
      <c r="F77" s="1237"/>
      <c r="G77" s="1237"/>
      <c r="H77" s="1237"/>
      <c r="I77" s="1237"/>
      <c r="J77" s="1142"/>
      <c r="K77" s="1142"/>
      <c r="L77" s="1142"/>
      <c r="M77" s="1208"/>
      <c r="N77" s="1142"/>
    </row>
    <row r="78" spans="1:14" s="442" customFormat="1" ht="18" customHeight="1" thickBot="1">
      <c r="A78" s="1142"/>
      <c r="B78" s="1142"/>
      <c r="C78" s="1135"/>
      <c r="D78" s="1135"/>
      <c r="E78" s="1135"/>
      <c r="F78" s="1135"/>
      <c r="G78" s="1135"/>
      <c r="H78" s="1135"/>
      <c r="I78" s="1135"/>
      <c r="J78" s="1135"/>
      <c r="K78" s="1135"/>
      <c r="L78" s="1142"/>
      <c r="M78" s="1142"/>
      <c r="N78" s="1142"/>
    </row>
    <row r="79" spans="1:14" s="442" customFormat="1" ht="18.75" thickBot="1">
      <c r="A79" s="1142"/>
      <c r="B79" s="1142"/>
      <c r="C79" s="1310" t="s">
        <v>671</v>
      </c>
      <c r="D79" s="1311"/>
      <c r="E79" s="1312"/>
      <c r="F79" s="1312"/>
      <c r="G79" s="1313"/>
      <c r="H79" s="1142"/>
      <c r="I79" s="1142"/>
      <c r="J79" s="1142"/>
      <c r="K79" s="1142"/>
      <c r="L79" s="1142"/>
      <c r="M79" s="1142"/>
      <c r="N79" s="1142"/>
    </row>
    <row r="80" spans="1:14" s="442" customFormat="1" ht="60.75" thickBot="1">
      <c r="A80" s="1142"/>
      <c r="B80" s="1142"/>
      <c r="C80" s="2145" t="s">
        <v>634</v>
      </c>
      <c r="D80" s="2146"/>
      <c r="E80" s="1314" t="s">
        <v>220</v>
      </c>
      <c r="F80" s="1315" t="s">
        <v>672</v>
      </c>
      <c r="G80" s="1315" t="s">
        <v>673</v>
      </c>
      <c r="H80" s="1142"/>
      <c r="I80" s="1142"/>
      <c r="J80" s="1142"/>
      <c r="K80" s="1142"/>
      <c r="L80" s="1142"/>
      <c r="M80" s="1142"/>
      <c r="N80" s="1142"/>
    </row>
    <row r="81" spans="1:14" s="442" customFormat="1" ht="15.75" thickBot="1">
      <c r="A81" s="1142"/>
      <c r="B81" s="1142"/>
      <c r="C81" s="2147"/>
      <c r="D81" s="2148"/>
      <c r="E81" s="1316" t="s">
        <v>591</v>
      </c>
      <c r="F81" s="1220" t="s">
        <v>591</v>
      </c>
      <c r="G81" s="1220" t="s">
        <v>591</v>
      </c>
      <c r="H81" s="1142"/>
      <c r="I81" s="1142"/>
      <c r="J81" s="1142"/>
      <c r="K81" s="1142"/>
      <c r="L81" s="1142"/>
      <c r="M81" s="1142"/>
      <c r="N81" s="1142"/>
    </row>
    <row r="82" spans="1:14" s="442" customFormat="1" ht="18" customHeight="1">
      <c r="A82" s="1142"/>
      <c r="B82" s="1142"/>
      <c r="C82" s="2082" t="s">
        <v>674</v>
      </c>
      <c r="D82" s="2084"/>
      <c r="E82" s="1290">
        <v>3.3188799568230634</v>
      </c>
      <c r="F82" s="1253">
        <v>0</v>
      </c>
      <c r="G82" s="1289">
        <v>3.3188799568230634</v>
      </c>
      <c r="H82" s="1237"/>
      <c r="I82" s="1142"/>
      <c r="J82" s="1142"/>
      <c r="K82" s="1142"/>
      <c r="L82" s="1142"/>
      <c r="M82" s="1142"/>
      <c r="N82" s="1142"/>
    </row>
    <row r="83" spans="1:14" s="442" customFormat="1" ht="18" customHeight="1">
      <c r="A83" s="1142"/>
      <c r="B83" s="1142"/>
      <c r="C83" s="2143" t="s">
        <v>675</v>
      </c>
      <c r="D83" s="2144"/>
      <c r="E83" s="1257">
        <v>0</v>
      </c>
      <c r="F83" s="1253">
        <v>0</v>
      </c>
      <c r="G83" s="1289">
        <v>0</v>
      </c>
      <c r="H83" s="1237"/>
      <c r="I83" s="1142"/>
      <c r="J83" s="1142"/>
      <c r="K83" s="1142"/>
      <c r="L83" s="1142"/>
      <c r="M83" s="1142"/>
      <c r="N83" s="1142"/>
    </row>
    <row r="84" spans="1:14" s="442" customFormat="1" ht="18" customHeight="1">
      <c r="A84" s="1142"/>
      <c r="B84" s="1142"/>
      <c r="C84" s="2143" t="s">
        <v>676</v>
      </c>
      <c r="D84" s="2144"/>
      <c r="E84" s="1257">
        <v>0.6453296002084451</v>
      </c>
      <c r="F84" s="1253">
        <v>0</v>
      </c>
      <c r="G84" s="1289">
        <v>0.6453296002084451</v>
      </c>
      <c r="H84" s="1237"/>
      <c r="I84" s="1142"/>
      <c r="J84" s="1142"/>
      <c r="K84" s="1142"/>
      <c r="L84" s="1142"/>
      <c r="M84" s="1142"/>
      <c r="N84" s="1142"/>
    </row>
    <row r="85" spans="1:14" s="442" customFormat="1" ht="18" customHeight="1">
      <c r="A85" s="1142"/>
      <c r="B85" s="1142"/>
      <c r="C85" s="2143" t="s">
        <v>677</v>
      </c>
      <c r="D85" s="2144"/>
      <c r="E85" s="1257">
        <v>0</v>
      </c>
      <c r="F85" s="1253">
        <v>0</v>
      </c>
      <c r="G85" s="1289">
        <v>0</v>
      </c>
      <c r="H85" s="1237"/>
      <c r="I85" s="1142"/>
      <c r="J85" s="1142"/>
      <c r="K85" s="1142"/>
      <c r="L85" s="1142"/>
      <c r="M85" s="1142"/>
      <c r="N85" s="1142"/>
    </row>
    <row r="86" spans="1:14" s="442" customFormat="1" ht="18" customHeight="1">
      <c r="A86" s="1142"/>
      <c r="B86" s="1142"/>
      <c r="C86" s="2143" t="s">
        <v>678</v>
      </c>
      <c r="D86" s="2144"/>
      <c r="E86" s="1257">
        <v>0</v>
      </c>
      <c r="F86" s="1253">
        <v>0</v>
      </c>
      <c r="G86" s="1289">
        <v>0</v>
      </c>
      <c r="H86" s="1237"/>
      <c r="I86" s="1142"/>
      <c r="J86" s="1142"/>
      <c r="K86" s="1142"/>
      <c r="L86" s="1142"/>
      <c r="M86" s="1142"/>
      <c r="N86" s="1142"/>
    </row>
    <row r="87" spans="1:14" s="442" customFormat="1" ht="18" customHeight="1">
      <c r="A87" s="1142"/>
      <c r="B87" s="1142"/>
      <c r="C87" s="2143" t="s">
        <v>679</v>
      </c>
      <c r="D87" s="2144"/>
      <c r="E87" s="1257">
        <v>0.30826771868454289</v>
      </c>
      <c r="F87" s="1253">
        <v>0.30826771868454289</v>
      </c>
      <c r="G87" s="1289">
        <v>0</v>
      </c>
      <c r="H87" s="1237"/>
      <c r="I87" s="1142"/>
      <c r="J87" s="1142"/>
      <c r="K87" s="1142"/>
      <c r="L87" s="1142"/>
      <c r="M87" s="1142"/>
      <c r="N87" s="1142"/>
    </row>
    <row r="88" spans="1:14" s="442" customFormat="1" ht="18" customHeight="1" thickBot="1">
      <c r="A88" s="1142"/>
      <c r="B88" s="1142"/>
      <c r="C88" s="2085" t="s">
        <v>680</v>
      </c>
      <c r="D88" s="2087"/>
      <c r="E88" s="1257">
        <v>2.923343259505772E-3</v>
      </c>
      <c r="F88" s="1253">
        <v>0</v>
      </c>
      <c r="G88" s="1289">
        <v>2.923343259505772E-3</v>
      </c>
      <c r="H88" s="1274"/>
      <c r="I88" s="1142"/>
      <c r="J88" s="1142"/>
      <c r="K88" s="1142"/>
      <c r="L88" s="1142"/>
      <c r="M88" s="1142"/>
      <c r="N88" s="1142"/>
    </row>
    <row r="89" spans="1:14" s="442" customFormat="1" ht="18" customHeight="1" thickBot="1">
      <c r="A89" s="1142"/>
      <c r="B89" s="1142"/>
      <c r="C89" s="2076" t="s">
        <v>681</v>
      </c>
      <c r="D89" s="2078"/>
      <c r="E89" s="1317">
        <v>4.2754006189755573</v>
      </c>
      <c r="F89" s="1317">
        <v>0.30826771868454289</v>
      </c>
      <c r="G89" s="1317">
        <v>3.9671329002910141</v>
      </c>
      <c r="H89" s="1298"/>
      <c r="I89" s="1142"/>
      <c r="J89" s="1142"/>
      <c r="K89" s="1142"/>
      <c r="L89" s="1142"/>
      <c r="M89" s="1142"/>
      <c r="N89" s="1142"/>
    </row>
  </sheetData>
  <mergeCells count="57">
    <mergeCell ref="C87:D87"/>
    <mergeCell ref="C88:D88"/>
    <mergeCell ref="C89:D89"/>
    <mergeCell ref="C80:D81"/>
    <mergeCell ref="C82:D82"/>
    <mergeCell ref="C83:D83"/>
    <mergeCell ref="C84:D84"/>
    <mergeCell ref="C85:D85"/>
    <mergeCell ref="C86:D86"/>
    <mergeCell ref="C77:D77"/>
    <mergeCell ref="C65:D65"/>
    <mergeCell ref="C66:D66"/>
    <mergeCell ref="C67:D67"/>
    <mergeCell ref="C68:D68"/>
    <mergeCell ref="C69:D69"/>
    <mergeCell ref="C70:D70"/>
    <mergeCell ref="C71:D71"/>
    <mergeCell ref="C72:D72"/>
    <mergeCell ref="C73:D73"/>
    <mergeCell ref="C75:D75"/>
    <mergeCell ref="C76:D76"/>
    <mergeCell ref="E28:F28"/>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20:D20"/>
    <mergeCell ref="C21:D21"/>
    <mergeCell ref="C22:D22"/>
    <mergeCell ref="C23:D23"/>
    <mergeCell ref="C24:D24"/>
    <mergeCell ref="C25:D25"/>
    <mergeCell ref="C27:D27"/>
    <mergeCell ref="C28:D30"/>
    <mergeCell ref="C19:D19"/>
    <mergeCell ref="C7:D7"/>
    <mergeCell ref="C8:D9"/>
    <mergeCell ref="C10:D10"/>
    <mergeCell ref="C11:D11"/>
    <mergeCell ref="C12:D12"/>
    <mergeCell ref="C13:D13"/>
    <mergeCell ref="C14:D14"/>
    <mergeCell ref="C15:D15"/>
    <mergeCell ref="C16:D16"/>
    <mergeCell ref="C17:D17"/>
    <mergeCell ref="C18:D18"/>
  </mergeCells>
  <phoneticPr fontId="2" type="noConversion"/>
  <dataValidations count="1">
    <dataValidation type="decimal" operator="lessThanOrEqual" allowBlank="1" showInputMessage="1" showErrorMessage="1" sqref="K24 E72:I72 E57:F57 E24:G24">
      <formula1>0</formula1>
    </dataValidation>
  </dataValidations>
  <pageMargins left="0.75" right="0.75" top="1" bottom="1" header="0.5" footer="0.5"/>
  <pageSetup paperSize="9" scale="39"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5FFFF"/>
    <pageSetUpPr fitToPage="1"/>
  </sheetPr>
  <dimension ref="A1:M101"/>
  <sheetViews>
    <sheetView zoomScale="70" zoomScaleNormal="70" workbookViewId="0">
      <selection activeCell="Y54" sqref="Y54"/>
    </sheetView>
  </sheetViews>
  <sheetFormatPr defaultColWidth="10.140625" defaultRowHeight="12.75"/>
  <cols>
    <col min="1" max="3" width="10.140625" style="442"/>
    <col min="4" max="6" width="12.28515625" style="442" customWidth="1"/>
    <col min="7" max="16384" width="10.140625" style="442"/>
  </cols>
  <sheetData>
    <row r="1" spans="1:13">
      <c r="A1" s="1126" t="s">
        <v>682</v>
      </c>
      <c r="F1" s="1127"/>
    </row>
    <row r="2" spans="1:13">
      <c r="A2" s="1126"/>
    </row>
    <row r="3" spans="1:13">
      <c r="A3" s="1126" t="s">
        <v>101</v>
      </c>
    </row>
    <row r="5" spans="1:13">
      <c r="A5" s="1318" t="s">
        <v>683</v>
      </c>
      <c r="B5" s="1134"/>
      <c r="C5" s="1134"/>
      <c r="D5" s="1134"/>
      <c r="E5" s="1134"/>
      <c r="F5" s="1319"/>
      <c r="G5" s="1319"/>
      <c r="H5" s="1319"/>
      <c r="I5" s="1319"/>
      <c r="J5" s="1319"/>
      <c r="K5" s="1319"/>
      <c r="L5" s="1319"/>
      <c r="M5" s="1319"/>
    </row>
    <row r="6" spans="1:13" ht="13.5" thickBot="1">
      <c r="A6" s="333"/>
      <c r="B6" s="1320"/>
      <c r="C6" s="1321"/>
      <c r="D6" s="1322"/>
      <c r="E6" s="1320"/>
      <c r="F6" s="1320"/>
      <c r="G6" s="333"/>
      <c r="H6" s="333"/>
      <c r="I6" s="333"/>
      <c r="J6" s="333"/>
      <c r="K6" s="333"/>
      <c r="L6" s="333"/>
      <c r="M6" s="333"/>
    </row>
    <row r="7" spans="1:13" ht="13.5" thickBot="1">
      <c r="A7" s="1319"/>
      <c r="B7" s="1323"/>
      <c r="C7" s="1324" t="s">
        <v>684</v>
      </c>
      <c r="D7" s="1325"/>
      <c r="E7" s="1326"/>
      <c r="F7" s="1326"/>
      <c r="G7" s="1326"/>
      <c r="H7" s="1327"/>
      <c r="I7" s="1328"/>
      <c r="J7" s="1319"/>
      <c r="K7" s="1319"/>
      <c r="L7" s="1319"/>
      <c r="M7" s="1319"/>
    </row>
    <row r="8" spans="1:13" ht="13.5" thickBot="1">
      <c r="A8" s="1319"/>
      <c r="B8" s="1329"/>
      <c r="C8" s="1303"/>
      <c r="D8" s="1303"/>
      <c r="E8" s="1319"/>
      <c r="F8" s="1319"/>
      <c r="G8" s="1330" t="s">
        <v>591</v>
      </c>
      <c r="H8" s="1330" t="s">
        <v>591</v>
      </c>
      <c r="I8" s="1331"/>
      <c r="J8" s="1319"/>
      <c r="K8" s="1319"/>
      <c r="L8" s="1319"/>
      <c r="M8" s="1319"/>
    </row>
    <row r="9" spans="1:13">
      <c r="A9" s="1319"/>
      <c r="B9" s="1332"/>
      <c r="C9" s="1324" t="s">
        <v>685</v>
      </c>
      <c r="D9" s="1303"/>
      <c r="E9" s="1333"/>
      <c r="F9" s="1319"/>
      <c r="G9" s="1334"/>
      <c r="H9" s="1335"/>
      <c r="I9" s="1331"/>
      <c r="J9" s="1319"/>
      <c r="K9" s="1319"/>
      <c r="L9" s="1319"/>
      <c r="M9" s="1319"/>
    </row>
    <row r="10" spans="1:13">
      <c r="A10" s="1319"/>
      <c r="B10" s="1336"/>
      <c r="C10" s="1223"/>
      <c r="D10" s="1337" t="s">
        <v>686</v>
      </c>
      <c r="E10" s="1338"/>
      <c r="F10" s="333"/>
      <c r="G10" s="314">
        <v>9.0830000000000002</v>
      </c>
      <c r="H10" s="315"/>
      <c r="I10" s="1339"/>
      <c r="J10" s="1340"/>
      <c r="K10" s="1340"/>
      <c r="L10" s="1340"/>
      <c r="M10" s="1319"/>
    </row>
    <row r="11" spans="1:13">
      <c r="A11" s="1319"/>
      <c r="B11" s="1336"/>
      <c r="C11" s="1223"/>
      <c r="D11" s="1337" t="s">
        <v>687</v>
      </c>
      <c r="E11" s="1338"/>
      <c r="F11" s="333"/>
      <c r="G11" s="314">
        <v>-0.502</v>
      </c>
      <c r="H11" s="315"/>
      <c r="I11" s="1339"/>
      <c r="J11" s="1340"/>
      <c r="K11" s="1340"/>
      <c r="L11" s="1340"/>
      <c r="M11" s="1319"/>
    </row>
    <row r="12" spans="1:13">
      <c r="A12" s="1319"/>
      <c r="B12" s="1336"/>
      <c r="C12" s="1223"/>
      <c r="D12" s="1337" t="s">
        <v>688</v>
      </c>
      <c r="E12" s="1338"/>
      <c r="F12" s="334"/>
      <c r="G12" s="314">
        <v>17.0274</v>
      </c>
      <c r="H12" s="315"/>
      <c r="I12" s="1339"/>
      <c r="J12" s="1340"/>
      <c r="K12" s="1340"/>
      <c r="L12" s="1340"/>
      <c r="M12" s="1319"/>
    </row>
    <row r="13" spans="1:13">
      <c r="A13" s="1319"/>
      <c r="B13" s="1336"/>
      <c r="C13" s="1223"/>
      <c r="D13" s="1337" t="s">
        <v>689</v>
      </c>
      <c r="E13" s="1338"/>
      <c r="F13" s="334"/>
      <c r="G13" s="314">
        <v>1.0512000000000001</v>
      </c>
      <c r="H13" s="315"/>
      <c r="I13" s="1339"/>
      <c r="J13" s="1340"/>
      <c r="K13" s="1340"/>
      <c r="L13" s="1340"/>
      <c r="M13" s="1319"/>
    </row>
    <row r="14" spans="1:13">
      <c r="A14" s="1319"/>
      <c r="B14" s="1336"/>
      <c r="C14" s="1223"/>
      <c r="D14" s="1341" t="s">
        <v>690</v>
      </c>
      <c r="E14" s="1338"/>
      <c r="F14" s="334"/>
      <c r="G14" s="314">
        <v>0</v>
      </c>
      <c r="H14" s="315"/>
      <c r="I14" s="1339"/>
      <c r="J14" s="1340"/>
      <c r="K14" s="1340"/>
      <c r="L14" s="1340"/>
      <c r="M14" s="1319"/>
    </row>
    <row r="15" spans="1:13" ht="25.5" customHeight="1">
      <c r="A15" s="1319"/>
      <c r="B15" s="1336"/>
      <c r="C15" s="1338"/>
      <c r="D15" s="2151" t="s">
        <v>691</v>
      </c>
      <c r="E15" s="2151"/>
      <c r="F15" s="2152"/>
      <c r="G15" s="316">
        <v>0</v>
      </c>
      <c r="H15" s="315">
        <v>26.659600000000001</v>
      </c>
      <c r="I15" s="1339"/>
      <c r="J15" s="1340"/>
      <c r="K15" s="1340"/>
      <c r="L15" s="1340"/>
      <c r="M15" s="1319"/>
    </row>
    <row r="16" spans="1:13">
      <c r="A16" s="1319"/>
      <c r="B16" s="1336"/>
      <c r="C16" s="1324" t="s">
        <v>692</v>
      </c>
      <c r="D16" s="1341"/>
      <c r="E16" s="1338"/>
      <c r="F16" s="333"/>
      <c r="G16" s="317"/>
      <c r="H16" s="318"/>
      <c r="I16" s="1339"/>
      <c r="J16" s="1340"/>
      <c r="K16" s="1340"/>
      <c r="L16" s="1340"/>
      <c r="M16" s="1319"/>
    </row>
    <row r="17" spans="1:13" ht="25.5" customHeight="1">
      <c r="A17" s="1319"/>
      <c r="B17" s="1336"/>
      <c r="C17" s="1338"/>
      <c r="D17" s="2151" t="s">
        <v>693</v>
      </c>
      <c r="E17" s="2151"/>
      <c r="F17" s="2152"/>
      <c r="G17" s="314">
        <v>5.0967249999999999E-2</v>
      </c>
      <c r="H17" s="315"/>
      <c r="I17" s="1339"/>
      <c r="J17" s="1340"/>
      <c r="K17" s="1340"/>
      <c r="L17" s="1340"/>
      <c r="M17" s="1319"/>
    </row>
    <row r="18" spans="1:13">
      <c r="A18" s="1319"/>
      <c r="B18" s="1336"/>
      <c r="C18" s="1338"/>
      <c r="D18" s="1341" t="s">
        <v>694</v>
      </c>
      <c r="E18" s="1338"/>
      <c r="F18" s="333"/>
      <c r="G18" s="314">
        <v>0.19289935999999999</v>
      </c>
      <c r="H18" s="315"/>
      <c r="I18" s="1339"/>
      <c r="J18" s="1340"/>
      <c r="K18" s="1340"/>
      <c r="L18" s="1340"/>
      <c r="M18" s="1319"/>
    </row>
    <row r="19" spans="1:13">
      <c r="A19" s="1319"/>
      <c r="B19" s="1336"/>
      <c r="C19" s="1338"/>
      <c r="D19" s="1341" t="s">
        <v>695</v>
      </c>
      <c r="E19" s="1338"/>
      <c r="F19" s="333"/>
      <c r="G19" s="316">
        <v>0.69310000000000005</v>
      </c>
      <c r="H19" s="315">
        <v>0.93696661000000003</v>
      </c>
      <c r="I19" s="1339"/>
      <c r="J19" s="1340"/>
      <c r="K19" s="1340"/>
      <c r="L19" s="1340"/>
      <c r="M19" s="1319"/>
    </row>
    <row r="20" spans="1:13">
      <c r="A20" s="1319"/>
      <c r="B20" s="1336"/>
      <c r="C20" s="1324" t="s">
        <v>696</v>
      </c>
      <c r="D20" s="1341"/>
      <c r="E20" s="1338"/>
      <c r="F20" s="333"/>
      <c r="G20" s="317"/>
      <c r="H20" s="318"/>
      <c r="I20" s="1339"/>
      <c r="J20" s="1340"/>
      <c r="K20" s="1340"/>
      <c r="L20" s="1340"/>
      <c r="M20" s="1319"/>
    </row>
    <row r="21" spans="1:13" ht="27.75" customHeight="1">
      <c r="A21" s="1319"/>
      <c r="B21" s="1336"/>
      <c r="C21" s="1338"/>
      <c r="D21" s="2151" t="s">
        <v>697</v>
      </c>
      <c r="E21" s="2151"/>
      <c r="F21" s="2152"/>
      <c r="G21" s="314">
        <v>2.1432373200000003</v>
      </c>
      <c r="H21" s="315"/>
      <c r="I21" s="1339"/>
      <c r="J21" s="1340"/>
      <c r="K21" s="1340"/>
      <c r="L21" s="1340"/>
      <c r="M21" s="1319"/>
    </row>
    <row r="22" spans="1:13" ht="26.25" customHeight="1">
      <c r="A22" s="1319"/>
      <c r="B22" s="1336"/>
      <c r="C22" s="1338"/>
      <c r="D22" s="2153" t="s">
        <v>698</v>
      </c>
      <c r="E22" s="2153"/>
      <c r="F22" s="2154"/>
      <c r="G22" s="314">
        <v>49.771000000000001</v>
      </c>
      <c r="H22" s="315"/>
      <c r="I22" s="1339"/>
      <c r="J22" s="1340"/>
      <c r="K22" s="1340"/>
      <c r="L22" s="1340"/>
      <c r="M22" s="1319"/>
    </row>
    <row r="23" spans="1:13">
      <c r="A23" s="1319"/>
      <c r="B23" s="1336"/>
      <c r="C23" s="1338"/>
      <c r="D23" s="1342" t="s">
        <v>699</v>
      </c>
      <c r="E23" s="1338"/>
      <c r="F23" s="334"/>
      <c r="G23" s="316">
        <v>0</v>
      </c>
      <c r="H23" s="315">
        <v>51.914237319999998</v>
      </c>
      <c r="I23" s="1339"/>
      <c r="J23" s="1340"/>
      <c r="K23" s="1340"/>
      <c r="L23" s="1340"/>
      <c r="M23" s="1319"/>
    </row>
    <row r="24" spans="1:13" ht="13.5" thickBot="1">
      <c r="A24" s="1319"/>
      <c r="B24" s="1336"/>
      <c r="C24" s="1338"/>
      <c r="D24" s="1337"/>
      <c r="E24" s="1333"/>
      <c r="F24" s="334"/>
      <c r="G24" s="317"/>
      <c r="H24" s="318"/>
      <c r="I24" s="1339"/>
      <c r="J24" s="1340"/>
      <c r="K24" s="1340"/>
      <c r="L24" s="1340"/>
      <c r="M24" s="1319"/>
    </row>
    <row r="25" spans="1:13" ht="13.5" thickBot="1">
      <c r="A25" s="1319"/>
      <c r="B25" s="1343"/>
      <c r="C25" s="2155" t="s">
        <v>700</v>
      </c>
      <c r="D25" s="2155"/>
      <c r="E25" s="2155"/>
      <c r="F25" s="2156"/>
      <c r="G25" s="319"/>
      <c r="H25" s="320">
        <v>79.510803929999994</v>
      </c>
      <c r="I25" s="1339"/>
      <c r="J25" s="1340"/>
      <c r="K25" s="1340"/>
      <c r="L25" s="1340"/>
      <c r="M25" s="1319"/>
    </row>
    <row r="26" spans="1:13" ht="13.5" thickBot="1">
      <c r="A26" s="1319"/>
      <c r="B26" s="1344"/>
      <c r="C26" s="1345"/>
      <c r="D26" s="1345"/>
      <c r="E26" s="1345"/>
      <c r="F26" s="1346"/>
      <c r="G26" s="1347"/>
      <c r="H26" s="1347"/>
      <c r="I26" s="1348"/>
      <c r="J26" s="1340"/>
      <c r="K26" s="1340"/>
      <c r="L26" s="1340"/>
      <c r="M26" s="1319"/>
    </row>
    <row r="27" spans="1:13" ht="13.5" thickBot="1">
      <c r="A27" s="1319"/>
      <c r="B27" s="1320"/>
      <c r="C27" s="1326"/>
      <c r="D27" s="1319"/>
      <c r="E27" s="1349"/>
      <c r="F27" s="1320"/>
      <c r="G27" s="1340"/>
      <c r="H27" s="1340"/>
      <c r="I27" s="1340"/>
      <c r="J27" s="1340"/>
      <c r="K27" s="1340"/>
      <c r="L27" s="1340"/>
      <c r="M27" s="1319"/>
    </row>
    <row r="28" spans="1:13">
      <c r="A28" s="1319"/>
      <c r="B28" s="1323"/>
      <c r="C28" s="1350" t="s">
        <v>701</v>
      </c>
      <c r="D28" s="1326"/>
      <c r="E28" s="1326"/>
      <c r="F28" s="1351"/>
      <c r="G28" s="1352"/>
      <c r="H28" s="1353"/>
      <c r="I28" s="1353"/>
      <c r="J28" s="1353"/>
      <c r="K28" s="1353"/>
      <c r="L28" s="1353"/>
      <c r="M28" s="1328"/>
    </row>
    <row r="29" spans="1:13" ht="13.5" thickBot="1">
      <c r="A29" s="1319"/>
      <c r="B29" s="1329"/>
      <c r="C29" s="1319"/>
      <c r="D29" s="1324" t="s">
        <v>702</v>
      </c>
      <c r="E29" s="1324"/>
      <c r="F29" s="333"/>
      <c r="G29" s="1354"/>
      <c r="H29" s="1354"/>
      <c r="I29" s="1340"/>
      <c r="J29" s="1340"/>
      <c r="K29" s="1340"/>
      <c r="L29" s="1340"/>
      <c r="M29" s="1331"/>
    </row>
    <row r="30" spans="1:13" ht="13.5" thickBot="1">
      <c r="A30" s="1319"/>
      <c r="B30" s="1355"/>
      <c r="C30" s="1319"/>
      <c r="D30" s="1338" t="s">
        <v>703</v>
      </c>
      <c r="F30" s="334"/>
      <c r="G30" s="1356" t="s">
        <v>591</v>
      </c>
      <c r="H30" s="1357"/>
      <c r="I30" s="1340"/>
      <c r="J30" s="1340"/>
      <c r="K30" s="1340"/>
      <c r="L30" s="1340"/>
      <c r="M30" s="1331"/>
    </row>
    <row r="31" spans="1:13">
      <c r="A31" s="1319"/>
      <c r="B31" s="1355"/>
      <c r="C31" s="1319"/>
      <c r="D31" s="1341" t="s">
        <v>704</v>
      </c>
      <c r="F31" s="1319"/>
      <c r="G31" s="314">
        <v>-0.33737599999999995</v>
      </c>
      <c r="H31" s="1357"/>
      <c r="I31" s="1340"/>
      <c r="J31" s="1340"/>
      <c r="K31" s="1340"/>
      <c r="L31" s="1340"/>
      <c r="M31" s="1331"/>
    </row>
    <row r="32" spans="1:13" ht="14.25">
      <c r="A32" s="1319"/>
      <c r="B32" s="1355"/>
      <c r="C32" s="1319"/>
      <c r="D32" s="1341" t="s">
        <v>705</v>
      </c>
      <c r="F32" s="1319"/>
      <c r="G32" s="321">
        <v>0</v>
      </c>
      <c r="H32" s="1357"/>
      <c r="I32" s="1340"/>
      <c r="J32" s="1340"/>
      <c r="K32" s="1340"/>
      <c r="L32" s="1340"/>
      <c r="M32" s="1331"/>
    </row>
    <row r="33" spans="1:13" ht="14.25">
      <c r="A33" s="333"/>
      <c r="B33" s="1358"/>
      <c r="C33" s="333"/>
      <c r="D33" s="1341" t="s">
        <v>706</v>
      </c>
      <c r="F33" s="333"/>
      <c r="G33" s="321">
        <v>-16.942247000000002</v>
      </c>
      <c r="H33" s="1357"/>
      <c r="I33" s="1354"/>
      <c r="J33" s="1354"/>
      <c r="K33" s="1354"/>
      <c r="L33" s="1354"/>
      <c r="M33" s="1359"/>
    </row>
    <row r="34" spans="1:13" ht="15.75" thickBot="1">
      <c r="A34" s="333"/>
      <c r="B34" s="1358"/>
      <c r="C34" s="333"/>
      <c r="D34" s="334"/>
      <c r="E34" s="1360" t="s">
        <v>220</v>
      </c>
      <c r="F34" s="334"/>
      <c r="G34" s="322">
        <v>-17.279623000000001</v>
      </c>
      <c r="H34" s="1357"/>
      <c r="I34" s="1354"/>
      <c r="J34" s="1354"/>
      <c r="K34" s="1354"/>
      <c r="L34" s="1354"/>
      <c r="M34" s="1359"/>
    </row>
    <row r="35" spans="1:13" ht="14.25" thickTop="1" thickBot="1">
      <c r="A35" s="333"/>
      <c r="B35" s="1358"/>
      <c r="C35" s="1322"/>
      <c r="D35" s="334"/>
      <c r="E35" s="334"/>
      <c r="F35" s="334"/>
      <c r="G35" s="1357"/>
      <c r="H35" s="1357"/>
      <c r="I35" s="1354"/>
      <c r="J35" s="1354"/>
      <c r="K35" s="1354"/>
      <c r="L35" s="1354"/>
      <c r="M35" s="1359"/>
    </row>
    <row r="36" spans="1:13" ht="38.25">
      <c r="A36" s="333"/>
      <c r="B36" s="1343"/>
      <c r="C36" s="334"/>
      <c r="D36" s="334"/>
      <c r="E36" s="2157" t="s">
        <v>707</v>
      </c>
      <c r="F36" s="2158"/>
      <c r="G36" s="1361" t="s">
        <v>708</v>
      </c>
      <c r="H36" s="1361" t="s">
        <v>709</v>
      </c>
      <c r="I36" s="1361" t="s">
        <v>710</v>
      </c>
      <c r="J36" s="1361" t="s">
        <v>711</v>
      </c>
      <c r="K36" s="1362" t="s">
        <v>712</v>
      </c>
      <c r="L36" s="2159" t="s">
        <v>713</v>
      </c>
      <c r="M36" s="1359"/>
    </row>
    <row r="37" spans="1:13">
      <c r="A37" s="333"/>
      <c r="B37" s="1343"/>
      <c r="C37" s="334"/>
      <c r="D37" s="334"/>
      <c r="E37" s="2161" t="s">
        <v>714</v>
      </c>
      <c r="F37" s="2162"/>
      <c r="G37" s="1363" t="s">
        <v>223</v>
      </c>
      <c r="H37" s="1363" t="s">
        <v>223</v>
      </c>
      <c r="I37" s="1363" t="s">
        <v>223</v>
      </c>
      <c r="J37" s="1363" t="s">
        <v>223</v>
      </c>
      <c r="K37" s="1364" t="s">
        <v>223</v>
      </c>
      <c r="L37" s="2160"/>
      <c r="M37" s="1359"/>
    </row>
    <row r="38" spans="1:13" ht="14.25">
      <c r="A38" s="333"/>
      <c r="B38" s="1343"/>
      <c r="C38" s="334"/>
      <c r="D38" s="334"/>
      <c r="E38" s="2149"/>
      <c r="F38" s="2150"/>
      <c r="G38" s="323">
        <v>0.17078499999999999</v>
      </c>
      <c r="H38" s="323">
        <v>0.170513</v>
      </c>
      <c r="I38" s="324">
        <v>2.7199999999999447E-4</v>
      </c>
      <c r="J38" s="323">
        <v>0.31273699999999999</v>
      </c>
      <c r="K38" s="325">
        <v>-0.31246499999999999</v>
      </c>
      <c r="L38" s="326" t="s">
        <v>1037</v>
      </c>
      <c r="M38" s="1359"/>
    </row>
    <row r="39" spans="1:13" ht="14.25">
      <c r="A39" s="333"/>
      <c r="B39" s="1343"/>
      <c r="C39" s="334"/>
      <c r="D39" s="334"/>
      <c r="E39" s="2149"/>
      <c r="F39" s="2150"/>
      <c r="G39" s="323">
        <v>0.1341</v>
      </c>
      <c r="H39" s="323">
        <v>0</v>
      </c>
      <c r="I39" s="324">
        <v>0.1341</v>
      </c>
      <c r="J39" s="323">
        <v>0.1341</v>
      </c>
      <c r="K39" s="325">
        <v>0</v>
      </c>
      <c r="L39" s="327" t="s">
        <v>1037</v>
      </c>
      <c r="M39" s="1359"/>
    </row>
    <row r="40" spans="1:13" ht="14.25">
      <c r="A40" s="333"/>
      <c r="B40" s="1343"/>
      <c r="C40" s="334"/>
      <c r="D40" s="334"/>
      <c r="E40" s="2149"/>
      <c r="F40" s="2150"/>
      <c r="G40" s="323">
        <v>3.0800999999999999E-2</v>
      </c>
      <c r="H40" s="323">
        <v>6.1619999999999999E-3</v>
      </c>
      <c r="I40" s="324">
        <v>2.4638999999999998E-2</v>
      </c>
      <c r="J40" s="323">
        <v>2.4638999999999998E-2</v>
      </c>
      <c r="K40" s="325">
        <v>0</v>
      </c>
      <c r="L40" s="327" t="s">
        <v>1037</v>
      </c>
      <c r="M40" s="1359"/>
    </row>
    <row r="41" spans="1:13" ht="14.25">
      <c r="A41" s="333"/>
      <c r="B41" s="1343"/>
      <c r="C41" s="334"/>
      <c r="D41" s="334"/>
      <c r="E41" s="2149"/>
      <c r="F41" s="2150"/>
      <c r="G41" s="323">
        <v>0.26225799999999999</v>
      </c>
      <c r="H41" s="323">
        <v>6.8647E-2</v>
      </c>
      <c r="I41" s="324">
        <v>0.19361099999999998</v>
      </c>
      <c r="J41" s="323">
        <v>0.19361099999999998</v>
      </c>
      <c r="K41" s="325">
        <v>0</v>
      </c>
      <c r="L41" s="327" t="s">
        <v>1037</v>
      </c>
      <c r="M41" s="1359"/>
    </row>
    <row r="42" spans="1:13" ht="14.25">
      <c r="A42" s="333"/>
      <c r="B42" s="1343"/>
      <c r="C42" s="334"/>
      <c r="D42" s="334"/>
      <c r="E42" s="2149"/>
      <c r="F42" s="2150"/>
      <c r="G42" s="328">
        <v>13.327817999999999</v>
      </c>
      <c r="H42" s="328">
        <v>8.7060910000000007</v>
      </c>
      <c r="I42" s="329">
        <v>4.6217269999999981</v>
      </c>
      <c r="J42" s="328">
        <v>4.621726999999999</v>
      </c>
      <c r="K42" s="330">
        <v>0</v>
      </c>
      <c r="L42" s="327" t="s">
        <v>1037</v>
      </c>
      <c r="M42" s="1359"/>
    </row>
    <row r="43" spans="1:13" ht="14.25">
      <c r="A43" s="333"/>
      <c r="B43" s="1343"/>
      <c r="C43" s="334"/>
      <c r="D43" s="334"/>
      <c r="E43" s="2149"/>
      <c r="F43" s="2150"/>
      <c r="G43" s="328">
        <v>17.720642999999999</v>
      </c>
      <c r="H43" s="328">
        <v>12.211765</v>
      </c>
      <c r="I43" s="329">
        <v>5.5088779999999993</v>
      </c>
      <c r="J43" s="328">
        <v>5.5088780000000011</v>
      </c>
      <c r="K43" s="330">
        <v>0</v>
      </c>
      <c r="L43" s="327" t="s">
        <v>1037</v>
      </c>
      <c r="M43" s="1359"/>
    </row>
    <row r="44" spans="1:13" ht="14.25">
      <c r="A44" s="333"/>
      <c r="B44" s="1343"/>
      <c r="C44" s="334"/>
      <c r="D44" s="334"/>
      <c r="E44" s="2149"/>
      <c r="F44" s="2150"/>
      <c r="G44" s="328">
        <v>11.093896000000001</v>
      </c>
      <c r="H44" s="328">
        <v>2.1759850000000003</v>
      </c>
      <c r="I44" s="329">
        <v>8.9179110000000001</v>
      </c>
      <c r="J44" s="328">
        <v>6.2839310000000008</v>
      </c>
      <c r="K44" s="330">
        <v>2.6339799999999993</v>
      </c>
      <c r="L44" s="327" t="s">
        <v>1037</v>
      </c>
      <c r="M44" s="1359"/>
    </row>
    <row r="45" spans="1:13" ht="14.25">
      <c r="A45" s="333"/>
      <c r="B45" s="1343"/>
      <c r="C45" s="334"/>
      <c r="D45" s="334"/>
      <c r="E45" s="2149"/>
      <c r="F45" s="2150"/>
      <c r="G45" s="328">
        <v>1.4150611000000002</v>
      </c>
      <c r="H45" s="328">
        <v>1.3933768099999999</v>
      </c>
      <c r="I45" s="329">
        <v>2.1684290000000273E-2</v>
      </c>
      <c r="J45" s="328">
        <v>0.2</v>
      </c>
      <c r="K45" s="330">
        <v>-0.17831570999999974</v>
      </c>
      <c r="L45" s="327" t="s">
        <v>1038</v>
      </c>
      <c r="M45" s="1359"/>
    </row>
    <row r="46" spans="1:13" ht="14.25">
      <c r="A46" s="333"/>
      <c r="B46" s="1343"/>
      <c r="C46" s="334"/>
      <c r="D46" s="334"/>
      <c r="E46" s="2149"/>
      <c r="F46" s="2150"/>
      <c r="G46" s="328">
        <v>8.9465000000000003E-2</v>
      </c>
      <c r="H46" s="328">
        <v>8.9426969999999995E-2</v>
      </c>
      <c r="I46" s="329">
        <v>3.8030000000008335E-5</v>
      </c>
      <c r="J46" s="328">
        <v>0</v>
      </c>
      <c r="K46" s="330">
        <v>3.8030000000008335E-5</v>
      </c>
      <c r="L46" s="327" t="s">
        <v>1038</v>
      </c>
      <c r="M46" s="1359"/>
    </row>
    <row r="47" spans="1:13" ht="14.25">
      <c r="A47" s="333"/>
      <c r="B47" s="1343"/>
      <c r="C47" s="334"/>
      <c r="D47" s="334"/>
      <c r="E47" s="2149"/>
      <c r="F47" s="2150"/>
      <c r="G47" s="328">
        <v>0</v>
      </c>
      <c r="H47" s="328">
        <v>0</v>
      </c>
      <c r="I47" s="329">
        <v>0</v>
      </c>
      <c r="J47" s="328">
        <v>0</v>
      </c>
      <c r="K47" s="330">
        <v>0</v>
      </c>
      <c r="L47" s="327">
        <v>0</v>
      </c>
      <c r="M47" s="1359"/>
    </row>
    <row r="48" spans="1:13" ht="14.25">
      <c r="A48" s="333"/>
      <c r="B48" s="1343"/>
      <c r="C48" s="334"/>
      <c r="D48" s="334"/>
      <c r="E48" s="2149"/>
      <c r="F48" s="2150"/>
      <c r="G48" s="328">
        <v>0</v>
      </c>
      <c r="H48" s="328">
        <v>0</v>
      </c>
      <c r="I48" s="329">
        <v>0</v>
      </c>
      <c r="J48" s="328">
        <v>0</v>
      </c>
      <c r="K48" s="330">
        <v>0</v>
      </c>
      <c r="L48" s="327">
        <v>0</v>
      </c>
      <c r="M48" s="1359"/>
    </row>
    <row r="49" spans="1:13" ht="14.25">
      <c r="A49" s="333"/>
      <c r="B49" s="1343"/>
      <c r="C49" s="334"/>
      <c r="D49" s="334"/>
      <c r="E49" s="2149"/>
      <c r="F49" s="2150"/>
      <c r="G49" s="328">
        <v>0</v>
      </c>
      <c r="H49" s="328">
        <v>0</v>
      </c>
      <c r="I49" s="329">
        <v>0</v>
      </c>
      <c r="J49" s="328">
        <v>0</v>
      </c>
      <c r="K49" s="330">
        <v>0</v>
      </c>
      <c r="L49" s="327">
        <v>0</v>
      </c>
      <c r="M49" s="1359"/>
    </row>
    <row r="50" spans="1:13" ht="15" thickBot="1">
      <c r="A50" s="333"/>
      <c r="B50" s="1343"/>
      <c r="C50" s="334"/>
      <c r="D50" s="334"/>
      <c r="E50" s="2149"/>
      <c r="F50" s="2150"/>
      <c r="G50" s="328">
        <v>0</v>
      </c>
      <c r="H50" s="328">
        <v>0</v>
      </c>
      <c r="I50" s="329">
        <v>0</v>
      </c>
      <c r="J50" s="328"/>
      <c r="K50" s="330">
        <v>0</v>
      </c>
      <c r="L50" s="331">
        <v>0</v>
      </c>
      <c r="M50" s="1359"/>
    </row>
    <row r="51" spans="1:13" ht="13.5" thickBot="1">
      <c r="A51" s="333"/>
      <c r="B51" s="1343"/>
      <c r="C51" s="334"/>
      <c r="D51" s="334"/>
      <c r="E51" s="332" t="s">
        <v>220</v>
      </c>
      <c r="F51" s="332"/>
      <c r="G51" s="332">
        <v>44.244827100000002</v>
      </c>
      <c r="H51" s="332">
        <v>24.821966780000004</v>
      </c>
      <c r="I51" s="332">
        <v>19.422860319999995</v>
      </c>
      <c r="J51" s="332">
        <v>17.279622999999997</v>
      </c>
      <c r="K51" s="332">
        <v>2.1432373199999994</v>
      </c>
      <c r="L51" s="333"/>
      <c r="M51" s="1359"/>
    </row>
    <row r="52" spans="1:13">
      <c r="A52" s="333"/>
      <c r="B52" s="1343"/>
      <c r="C52" s="334"/>
      <c r="D52" s="334"/>
      <c r="E52" s="334"/>
      <c r="F52" s="334"/>
      <c r="G52" s="333"/>
      <c r="H52" s="333"/>
      <c r="I52" s="333"/>
      <c r="J52" s="335" t="s">
        <v>715</v>
      </c>
      <c r="K52" s="335" t="s">
        <v>715</v>
      </c>
      <c r="L52" s="333"/>
      <c r="M52" s="1359"/>
    </row>
    <row r="53" spans="1:13" ht="13.5" thickBot="1">
      <c r="A53" s="333"/>
      <c r="B53" s="1343"/>
      <c r="C53" s="334"/>
      <c r="D53" s="334"/>
      <c r="E53" s="334"/>
      <c r="F53" s="334"/>
      <c r="G53" s="333"/>
      <c r="H53" s="333"/>
      <c r="I53" s="333"/>
      <c r="J53" s="333"/>
      <c r="K53" s="333"/>
      <c r="L53" s="333"/>
      <c r="M53" s="1359"/>
    </row>
    <row r="54" spans="1:13" ht="13.5" thickBot="1">
      <c r="A54" s="333"/>
      <c r="B54" s="1343"/>
      <c r="C54" s="1324" t="s">
        <v>716</v>
      </c>
      <c r="E54" s="1365"/>
      <c r="F54" s="333"/>
      <c r="G54" s="1356" t="s">
        <v>223</v>
      </c>
      <c r="H54" s="1356" t="s">
        <v>223</v>
      </c>
      <c r="I54" s="333"/>
      <c r="J54" s="1354"/>
      <c r="K54" s="1354"/>
      <c r="L54" s="1354"/>
      <c r="M54" s="1366"/>
    </row>
    <row r="55" spans="1:13" ht="26.25" thickBot="1">
      <c r="A55" s="333"/>
      <c r="B55" s="1343"/>
      <c r="C55" s="334"/>
      <c r="D55" s="333"/>
      <c r="E55" s="333"/>
      <c r="F55" s="333"/>
      <c r="G55" s="1367"/>
      <c r="H55" s="1368" t="s">
        <v>717</v>
      </c>
      <c r="I55" s="333"/>
      <c r="J55" s="1354"/>
      <c r="K55" s="1354"/>
      <c r="L55" s="1354"/>
      <c r="M55" s="1366"/>
    </row>
    <row r="56" spans="1:13">
      <c r="A56" s="333"/>
      <c r="B56" s="1343"/>
      <c r="D56" s="1365" t="s">
        <v>718</v>
      </c>
      <c r="F56" s="333"/>
      <c r="G56" s="314">
        <v>0</v>
      </c>
      <c r="H56" s="1369">
        <v>0</v>
      </c>
      <c r="I56" s="333"/>
      <c r="J56" s="1354"/>
      <c r="K56" s="1354"/>
      <c r="L56" s="1354"/>
      <c r="M56" s="1366"/>
    </row>
    <row r="57" spans="1:13" ht="13.5" thickBot="1">
      <c r="A57" s="333"/>
      <c r="B57" s="1343"/>
      <c r="D57" s="1365" t="s">
        <v>719</v>
      </c>
      <c r="F57" s="333"/>
      <c r="G57" s="314">
        <v>0</v>
      </c>
      <c r="H57" s="1370">
        <v>0</v>
      </c>
      <c r="I57" s="333"/>
      <c r="J57" s="1354"/>
      <c r="K57" s="1354"/>
      <c r="L57" s="1354"/>
      <c r="M57" s="1366"/>
    </row>
    <row r="58" spans="1:13" ht="13.5" thickBot="1">
      <c r="A58" s="333"/>
      <c r="B58" s="1343"/>
      <c r="C58" s="334"/>
      <c r="E58" s="1360" t="s">
        <v>720</v>
      </c>
      <c r="F58" s="333"/>
      <c r="G58" s="1371">
        <v>0</v>
      </c>
      <c r="H58" s="1354"/>
      <c r="I58" s="333"/>
      <c r="J58" s="1354"/>
      <c r="K58" s="1354"/>
      <c r="L58" s="1354"/>
      <c r="M58" s="1366"/>
    </row>
    <row r="59" spans="1:13" ht="14.25" thickTop="1" thickBot="1">
      <c r="A59" s="333"/>
      <c r="B59" s="1343"/>
      <c r="C59" s="334"/>
      <c r="D59" s="334"/>
      <c r="E59" s="1360"/>
      <c r="F59" s="333"/>
      <c r="G59" s="1354"/>
      <c r="H59" s="1354"/>
      <c r="I59" s="333"/>
      <c r="J59" s="1354"/>
      <c r="K59" s="1354"/>
      <c r="L59" s="1354"/>
      <c r="M59" s="1366"/>
    </row>
    <row r="60" spans="1:13" ht="73.5" customHeight="1" thickBot="1">
      <c r="A60" s="333"/>
      <c r="B60" s="1343"/>
      <c r="C60" s="2163" t="s">
        <v>721</v>
      </c>
      <c r="D60" s="2163"/>
      <c r="E60" s="2163"/>
      <c r="F60" s="333"/>
      <c r="G60" s="1372" t="s">
        <v>220</v>
      </c>
      <c r="H60" s="1373" t="s">
        <v>722</v>
      </c>
      <c r="I60" s="1373" t="s">
        <v>723</v>
      </c>
      <c r="J60" s="1373" t="s">
        <v>724</v>
      </c>
      <c r="K60" s="1373" t="s">
        <v>725</v>
      </c>
      <c r="L60" s="1354"/>
      <c r="M60" s="1359"/>
    </row>
    <row r="61" spans="1:13" ht="13.5" thickBot="1">
      <c r="A61" s="333"/>
      <c r="B61" s="1358"/>
      <c r="C61" s="1322"/>
      <c r="D61" s="1324"/>
      <c r="E61" s="1223"/>
      <c r="F61" s="334"/>
      <c r="G61" s="1356" t="s">
        <v>223</v>
      </c>
      <c r="H61" s="1356" t="s">
        <v>223</v>
      </c>
      <c r="I61" s="1356" t="s">
        <v>223</v>
      </c>
      <c r="J61" s="1356" t="s">
        <v>223</v>
      </c>
      <c r="K61" s="1356" t="s">
        <v>223</v>
      </c>
      <c r="L61" s="1354"/>
      <c r="M61" s="1359"/>
    </row>
    <row r="62" spans="1:13">
      <c r="A62" s="333"/>
      <c r="B62" s="1358"/>
      <c r="D62" s="2153" t="s">
        <v>726</v>
      </c>
      <c r="E62" s="2153"/>
      <c r="F62" s="2154"/>
      <c r="G62" s="336">
        <v>-2.0513537374125059</v>
      </c>
      <c r="H62" s="337">
        <v>-0.44830776142227252</v>
      </c>
      <c r="I62" s="338">
        <v>-0.41700696499193829</v>
      </c>
      <c r="J62" s="338">
        <v>-1.1206507958357173</v>
      </c>
      <c r="K62" s="339">
        <v>-6.5388215162577992E-2</v>
      </c>
      <c r="L62" s="1354"/>
      <c r="M62" s="1359"/>
    </row>
    <row r="63" spans="1:13" ht="24.75" customHeight="1" thickBot="1">
      <c r="A63" s="333"/>
      <c r="B63" s="1358"/>
      <c r="D63" s="2153" t="s">
        <v>727</v>
      </c>
      <c r="E63" s="2153"/>
      <c r="F63" s="2154"/>
      <c r="G63" s="340">
        <v>2.0513537374125059</v>
      </c>
      <c r="H63" s="341">
        <v>0.44830776142227252</v>
      </c>
      <c r="I63" s="342">
        <v>0.41700696499193829</v>
      </c>
      <c r="J63" s="342">
        <v>1.1206507958357173</v>
      </c>
      <c r="K63" s="343">
        <v>6.5388215162577992E-2</v>
      </c>
      <c r="L63" s="1354"/>
      <c r="M63" s="1359"/>
    </row>
    <row r="64" spans="1:13" ht="13.5" thickBot="1">
      <c r="A64" s="333"/>
      <c r="B64" s="1358"/>
      <c r="C64" s="1322"/>
      <c r="D64" s="334"/>
      <c r="E64" s="334"/>
      <c r="F64" s="334"/>
      <c r="G64" s="1357"/>
      <c r="H64" s="1357"/>
      <c r="I64" s="1354"/>
      <c r="J64" s="1354"/>
      <c r="K64" s="1354"/>
      <c r="L64" s="1354"/>
      <c r="M64" s="1359"/>
    </row>
    <row r="65" spans="1:13" ht="90" thickBot="1">
      <c r="A65" s="333"/>
      <c r="B65" s="1343"/>
      <c r="C65" s="2163" t="s">
        <v>728</v>
      </c>
      <c r="D65" s="2163"/>
      <c r="E65" s="2163"/>
      <c r="F65" s="333"/>
      <c r="G65" s="1374" t="s">
        <v>220</v>
      </c>
      <c r="H65" s="1375" t="s">
        <v>633</v>
      </c>
      <c r="I65" s="1375" t="s">
        <v>729</v>
      </c>
      <c r="J65" s="1375" t="s">
        <v>573</v>
      </c>
      <c r="K65" s="1375" t="s">
        <v>730</v>
      </c>
      <c r="L65" s="1375" t="s">
        <v>575</v>
      </c>
      <c r="M65" s="1359"/>
    </row>
    <row r="66" spans="1:13" ht="13.5" thickBot="1">
      <c r="A66" s="333"/>
      <c r="B66" s="1343"/>
      <c r="C66" s="334"/>
      <c r="D66" s="1365"/>
      <c r="E66" s="333"/>
      <c r="F66" s="333"/>
      <c r="G66" s="1356" t="s">
        <v>223</v>
      </c>
      <c r="H66" s="1356" t="s">
        <v>223</v>
      </c>
      <c r="I66" s="1356" t="s">
        <v>223</v>
      </c>
      <c r="J66" s="1356" t="s">
        <v>223</v>
      </c>
      <c r="K66" s="1356" t="s">
        <v>223</v>
      </c>
      <c r="L66" s="1356" t="s">
        <v>223</v>
      </c>
      <c r="M66" s="1359"/>
    </row>
    <row r="67" spans="1:13" ht="14.25">
      <c r="A67" s="333"/>
      <c r="B67" s="1343"/>
      <c r="D67" s="1342" t="s">
        <v>731</v>
      </c>
      <c r="F67" s="333"/>
      <c r="G67" s="344">
        <v>0.1</v>
      </c>
      <c r="H67" s="345">
        <v>0</v>
      </c>
      <c r="I67" s="346">
        <v>0</v>
      </c>
      <c r="J67" s="346">
        <v>0.1</v>
      </c>
      <c r="K67" s="347">
        <v>0</v>
      </c>
      <c r="L67" s="348">
        <v>0</v>
      </c>
      <c r="M67" s="1359"/>
    </row>
    <row r="68" spans="1:13">
      <c r="A68" s="333"/>
      <c r="B68" s="1343"/>
      <c r="D68" s="1365" t="s">
        <v>732</v>
      </c>
      <c r="F68" s="333"/>
      <c r="G68" s="349">
        <v>0.10442487076963758</v>
      </c>
      <c r="H68" s="350">
        <v>1.6734887064506535E-3</v>
      </c>
      <c r="I68" s="351">
        <v>9.9575613795699781E-3</v>
      </c>
      <c r="J68" s="351">
        <v>9.240000000000001E-2</v>
      </c>
      <c r="K68" s="347">
        <v>3.9382068361692736E-4</v>
      </c>
      <c r="L68" s="348">
        <v>0</v>
      </c>
      <c r="M68" s="1359"/>
    </row>
    <row r="69" spans="1:13">
      <c r="A69" s="333"/>
      <c r="B69" s="1343"/>
      <c r="D69" s="1365" t="s">
        <v>733</v>
      </c>
      <c r="F69" s="333"/>
      <c r="G69" s="349">
        <v>0</v>
      </c>
      <c r="H69" s="350">
        <v>0</v>
      </c>
      <c r="I69" s="351">
        <v>0</v>
      </c>
      <c r="J69" s="351">
        <v>0</v>
      </c>
      <c r="K69" s="347">
        <v>0</v>
      </c>
      <c r="L69" s="348">
        <v>0</v>
      </c>
      <c r="M69" s="1359"/>
    </row>
    <row r="70" spans="1:13">
      <c r="A70" s="333"/>
      <c r="B70" s="1343"/>
      <c r="D70" s="1365" t="s">
        <v>734</v>
      </c>
      <c r="F70" s="333"/>
      <c r="G70" s="349">
        <v>0</v>
      </c>
      <c r="H70" s="352">
        <v>0</v>
      </c>
      <c r="I70" s="353">
        <v>0</v>
      </c>
      <c r="J70" s="353">
        <v>0</v>
      </c>
      <c r="K70" s="354">
        <v>0</v>
      </c>
      <c r="L70" s="355">
        <v>0</v>
      </c>
      <c r="M70" s="1359"/>
    </row>
    <row r="71" spans="1:13" ht="13.5" thickBot="1">
      <c r="A71" s="333"/>
      <c r="B71" s="1343"/>
      <c r="C71" s="334"/>
      <c r="D71" s="334"/>
      <c r="E71" s="1360" t="s">
        <v>735</v>
      </c>
      <c r="F71" s="333"/>
      <c r="G71" s="332">
        <v>0.20442487076963758</v>
      </c>
      <c r="H71" s="332">
        <v>1.6734887064506535E-3</v>
      </c>
      <c r="I71" s="332">
        <v>9.9575613795699781E-3</v>
      </c>
      <c r="J71" s="332">
        <v>0.19240000000000002</v>
      </c>
      <c r="K71" s="332">
        <v>3.9382068361692736E-4</v>
      </c>
      <c r="L71" s="332">
        <v>0</v>
      </c>
      <c r="M71" s="1359"/>
    </row>
    <row r="72" spans="1:13" ht="13.5" thickBot="1">
      <c r="A72" s="333"/>
      <c r="B72" s="1376"/>
      <c r="C72" s="1377"/>
      <c r="D72" s="1377"/>
      <c r="E72" s="1378"/>
      <c r="F72" s="1379"/>
      <c r="G72" s="1378"/>
      <c r="H72" s="1380"/>
      <c r="I72" s="1381"/>
      <c r="J72" s="1381"/>
      <c r="K72" s="1381"/>
      <c r="L72" s="1381"/>
      <c r="M72" s="1382"/>
    </row>
    <row r="73" spans="1:13" ht="13.5" thickBot="1">
      <c r="A73" s="333"/>
      <c r="B73" s="333"/>
      <c r="C73" s="1379"/>
      <c r="D73" s="333"/>
      <c r="E73" s="333"/>
      <c r="F73" s="333"/>
      <c r="G73" s="1354"/>
      <c r="H73" s="1354"/>
      <c r="I73" s="1354"/>
      <c r="J73" s="1354"/>
      <c r="K73" s="1354"/>
      <c r="L73" s="1354"/>
      <c r="M73" s="333"/>
    </row>
    <row r="74" spans="1:13">
      <c r="A74" s="333"/>
      <c r="B74" s="1323"/>
      <c r="C74" s="1324" t="s">
        <v>736</v>
      </c>
      <c r="D74" s="1326"/>
      <c r="E74" s="1383"/>
      <c r="F74" s="1326"/>
      <c r="G74" s="1353"/>
      <c r="H74" s="1353"/>
      <c r="I74" s="1352"/>
      <c r="J74" s="1352"/>
      <c r="K74" s="1352"/>
      <c r="L74" s="1352"/>
      <c r="M74" s="1384"/>
    </row>
    <row r="75" spans="1:13" ht="13.5" thickBot="1">
      <c r="A75" s="333"/>
      <c r="B75" s="1329"/>
      <c r="C75" s="1385"/>
      <c r="D75" s="1319"/>
      <c r="E75" s="1337"/>
      <c r="F75" s="1319"/>
      <c r="G75" s="1340"/>
      <c r="H75" s="1340"/>
      <c r="I75" s="1354"/>
      <c r="J75" s="1354"/>
      <c r="K75" s="1354"/>
      <c r="L75" s="1354"/>
      <c r="M75" s="1359"/>
    </row>
    <row r="76" spans="1:13" ht="90" customHeight="1" thickBot="1">
      <c r="A76" s="333"/>
      <c r="B76" s="1343"/>
      <c r="C76" s="2163" t="s">
        <v>737</v>
      </c>
      <c r="D76" s="2163"/>
      <c r="E76" s="2163"/>
      <c r="F76" s="2164"/>
      <c r="G76" s="1374" t="s">
        <v>220</v>
      </c>
      <c r="H76" s="1375" t="s">
        <v>633</v>
      </c>
      <c r="I76" s="1375" t="s">
        <v>729</v>
      </c>
      <c r="J76" s="1375" t="s">
        <v>573</v>
      </c>
      <c r="K76" s="1375" t="s">
        <v>730</v>
      </c>
      <c r="L76" s="1375" t="s">
        <v>575</v>
      </c>
      <c r="M76" s="1359"/>
    </row>
    <row r="77" spans="1:13" ht="13.5" thickBot="1">
      <c r="A77" s="333"/>
      <c r="B77" s="1343"/>
      <c r="C77" s="334"/>
      <c r="D77" s="1365"/>
      <c r="E77" s="333"/>
      <c r="F77" s="333"/>
      <c r="G77" s="1356" t="s">
        <v>223</v>
      </c>
      <c r="H77" s="1356" t="s">
        <v>223</v>
      </c>
      <c r="I77" s="1356" t="s">
        <v>223</v>
      </c>
      <c r="J77" s="1356" t="s">
        <v>223</v>
      </c>
      <c r="K77" s="1356" t="s">
        <v>223</v>
      </c>
      <c r="L77" s="1356" t="s">
        <v>223</v>
      </c>
      <c r="M77" s="1359"/>
    </row>
    <row r="78" spans="1:13">
      <c r="A78" s="333"/>
      <c r="B78" s="1343"/>
      <c r="C78" s="334"/>
      <c r="D78" s="334" t="s">
        <v>732</v>
      </c>
      <c r="E78" s="334"/>
      <c r="G78" s="1386">
        <v>0</v>
      </c>
      <c r="H78" s="1387"/>
      <c r="I78" s="1388"/>
      <c r="J78" s="1388"/>
      <c r="K78" s="1389"/>
      <c r="L78" s="1390"/>
      <c r="M78" s="1359"/>
    </row>
    <row r="79" spans="1:13">
      <c r="A79" s="333"/>
      <c r="B79" s="1343"/>
      <c r="C79" s="334"/>
      <c r="D79" s="334" t="s">
        <v>733</v>
      </c>
      <c r="E79" s="334"/>
      <c r="G79" s="1386">
        <v>0</v>
      </c>
      <c r="H79" s="1387"/>
      <c r="I79" s="1388"/>
      <c r="J79" s="1388"/>
      <c r="K79" s="1389"/>
      <c r="L79" s="1390"/>
      <c r="M79" s="1359"/>
    </row>
    <row r="80" spans="1:13">
      <c r="A80" s="333"/>
      <c r="B80" s="1343"/>
      <c r="C80" s="334"/>
      <c r="D80" s="334" t="s">
        <v>734</v>
      </c>
      <c r="E80" s="334"/>
      <c r="G80" s="1386">
        <v>0</v>
      </c>
      <c r="H80" s="1391"/>
      <c r="I80" s="1392"/>
      <c r="J80" s="1392"/>
      <c r="K80" s="1393"/>
      <c r="L80" s="1394"/>
      <c r="M80" s="1359"/>
    </row>
    <row r="81" spans="1:13" ht="13.5" thickBot="1">
      <c r="A81" s="333"/>
      <c r="B81" s="1343"/>
      <c r="C81" s="334"/>
      <c r="D81" s="334"/>
      <c r="F81" s="1395" t="s">
        <v>220</v>
      </c>
      <c r="G81" s="1396">
        <v>0</v>
      </c>
      <c r="H81" s="1396">
        <v>0</v>
      </c>
      <c r="I81" s="1396">
        <v>0</v>
      </c>
      <c r="J81" s="1396">
        <v>0</v>
      </c>
      <c r="K81" s="1396">
        <v>0</v>
      </c>
      <c r="L81" s="1396">
        <v>0</v>
      </c>
      <c r="M81" s="1359"/>
    </row>
    <row r="82" spans="1:13" ht="13.5" thickBot="1">
      <c r="A82" s="333"/>
      <c r="B82" s="1343"/>
      <c r="C82" s="334"/>
      <c r="D82" s="334"/>
      <c r="E82" s="1365"/>
      <c r="F82" s="333"/>
      <c r="G82" s="1397"/>
      <c r="H82" s="1397"/>
      <c r="I82" s="1354"/>
      <c r="J82" s="1354"/>
      <c r="K82" s="1354"/>
      <c r="L82" s="1354"/>
      <c r="M82" s="1359"/>
    </row>
    <row r="83" spans="1:13" ht="27" customHeight="1" thickBot="1">
      <c r="A83" s="333"/>
      <c r="B83" s="1343"/>
      <c r="C83" s="2167" t="s">
        <v>738</v>
      </c>
      <c r="D83" s="2167"/>
      <c r="E83" s="2167"/>
      <c r="F83" s="2168"/>
      <c r="G83" s="1398">
        <v>0</v>
      </c>
      <c r="H83" s="1399"/>
      <c r="I83" s="1400">
        <v>0</v>
      </c>
      <c r="J83" s="1399"/>
      <c r="K83" s="1401"/>
      <c r="L83" s="1402"/>
      <c r="M83" s="1359"/>
    </row>
    <row r="84" spans="1:13" ht="13.5" thickBot="1">
      <c r="A84" s="333"/>
      <c r="B84" s="1376"/>
      <c r="C84" s="1377"/>
      <c r="D84" s="1377"/>
      <c r="E84" s="1403"/>
      <c r="F84" s="1379"/>
      <c r="G84" s="1404"/>
      <c r="H84" s="1405"/>
      <c r="I84" s="1404"/>
      <c r="J84" s="1404"/>
      <c r="K84" s="1404"/>
      <c r="L84" s="1404"/>
      <c r="M84" s="1406"/>
    </row>
    <row r="85" spans="1:13" ht="13.5" thickBot="1">
      <c r="A85" s="1365"/>
      <c r="B85" s="1365"/>
      <c r="C85" s="1367"/>
      <c r="D85" s="334"/>
      <c r="E85" s="1365"/>
      <c r="F85" s="333"/>
      <c r="G85" s="1354"/>
      <c r="H85" s="1397"/>
      <c r="I85" s="1354"/>
      <c r="J85" s="1354"/>
      <c r="K85" s="1354"/>
      <c r="L85" s="1354"/>
      <c r="M85" s="333"/>
    </row>
    <row r="86" spans="1:13" ht="13.5" thickBot="1">
      <c r="A86" s="333"/>
      <c r="B86" s="1407"/>
      <c r="C86" s="1350" t="s">
        <v>739</v>
      </c>
      <c r="D86" s="1408"/>
      <c r="E86" s="1409"/>
      <c r="F86" s="1410"/>
      <c r="G86" s="1411"/>
      <c r="H86" s="1411"/>
      <c r="I86" s="1412"/>
      <c r="J86" s="1354"/>
      <c r="K86" s="1354"/>
      <c r="L86" s="1354"/>
      <c r="M86" s="333"/>
    </row>
    <row r="87" spans="1:13" ht="13.5" thickBot="1">
      <c r="A87" s="333"/>
      <c r="B87" s="1343"/>
      <c r="C87" s="334"/>
      <c r="D87" s="334"/>
      <c r="E87" s="1360"/>
      <c r="F87" s="333"/>
      <c r="G87" s="1356" t="s">
        <v>223</v>
      </c>
      <c r="H87" s="1397"/>
      <c r="I87" s="1366"/>
      <c r="J87" s="1354"/>
      <c r="K87" s="1354"/>
      <c r="L87" s="1354"/>
      <c r="M87" s="333"/>
    </row>
    <row r="88" spans="1:13" ht="29.25" customHeight="1" thickBot="1">
      <c r="A88" s="333"/>
      <c r="B88" s="1343"/>
      <c r="C88" s="2163" t="s">
        <v>740</v>
      </c>
      <c r="D88" s="2163"/>
      <c r="E88" s="2163"/>
      <c r="F88" s="2164"/>
      <c r="G88" s="1413">
        <v>0.20649999999999999</v>
      </c>
      <c r="H88" s="1354"/>
      <c r="I88" s="1366"/>
      <c r="J88" s="1354"/>
      <c r="K88" s="1354"/>
      <c r="L88" s="1354"/>
      <c r="M88" s="333"/>
    </row>
    <row r="89" spans="1:13" ht="27" customHeight="1" thickBot="1">
      <c r="A89" s="333"/>
      <c r="B89" s="1343"/>
      <c r="C89" s="2163" t="s">
        <v>741</v>
      </c>
      <c r="D89" s="2163"/>
      <c r="E89" s="2163"/>
      <c r="F89" s="2164"/>
      <c r="G89" s="1414">
        <v>0</v>
      </c>
      <c r="H89" s="1354"/>
      <c r="I89" s="1366"/>
      <c r="J89" s="1354"/>
      <c r="K89" s="1354"/>
      <c r="L89" s="1354"/>
      <c r="M89" s="333"/>
    </row>
    <row r="90" spans="1:13" ht="13.5" thickBot="1">
      <c r="A90" s="333"/>
      <c r="B90" s="1343"/>
      <c r="C90" s="334"/>
      <c r="D90" s="334"/>
      <c r="E90" s="1365"/>
      <c r="F90" s="333"/>
      <c r="G90" s="1354"/>
      <c r="H90" s="1354"/>
      <c r="I90" s="1366"/>
      <c r="J90" s="1354"/>
      <c r="K90" s="1354"/>
      <c r="L90" s="1354"/>
      <c r="M90" s="333"/>
    </row>
    <row r="91" spans="1:13" ht="13.5" thickBot="1">
      <c r="A91" s="333"/>
      <c r="B91" s="1343"/>
      <c r="C91" s="334"/>
      <c r="D91" s="334"/>
      <c r="E91" s="1415"/>
      <c r="F91" s="333"/>
      <c r="G91" s="1356" t="s">
        <v>223</v>
      </c>
      <c r="H91" s="1356" t="s">
        <v>541</v>
      </c>
      <c r="I91" s="1416"/>
      <c r="J91" s="1417"/>
      <c r="K91" s="1417"/>
      <c r="L91" s="1354"/>
      <c r="M91" s="333"/>
    </row>
    <row r="92" spans="1:13" ht="13.5" thickBot="1">
      <c r="A92" s="333"/>
      <c r="B92" s="1343"/>
      <c r="C92" s="1324" t="s">
        <v>742</v>
      </c>
      <c r="E92" s="333"/>
      <c r="F92" s="333"/>
      <c r="G92" s="1418">
        <v>5.6549489999999993</v>
      </c>
      <c r="H92" s="1419">
        <v>7.61</v>
      </c>
      <c r="I92" s="1420"/>
      <c r="J92" s="1421"/>
      <c r="K92" s="1421"/>
      <c r="L92" s="1354"/>
      <c r="M92" s="333"/>
    </row>
    <row r="93" spans="1:13" ht="14.25" thickTop="1" thickBot="1">
      <c r="A93" s="333"/>
      <c r="B93" s="1358"/>
      <c r="C93" s="333"/>
      <c r="D93" s="1422"/>
      <c r="E93" s="333"/>
      <c r="F93" s="333"/>
      <c r="G93" s="333"/>
      <c r="H93" s="333"/>
      <c r="I93" s="1420"/>
      <c r="J93" s="1423"/>
      <c r="K93" s="1423"/>
      <c r="L93" s="1354"/>
      <c r="M93" s="333"/>
    </row>
    <row r="94" spans="1:13" ht="27.75" customHeight="1" thickBot="1">
      <c r="A94" s="333"/>
      <c r="B94" s="1343"/>
      <c r="C94" s="2163" t="s">
        <v>743</v>
      </c>
      <c r="D94" s="2163"/>
      <c r="E94" s="2163"/>
      <c r="F94" s="2164"/>
      <c r="G94" s="1356" t="s">
        <v>223</v>
      </c>
      <c r="H94" s="1356" t="s">
        <v>541</v>
      </c>
      <c r="I94" s="1424"/>
      <c r="J94" s="1423"/>
      <c r="K94" s="1423"/>
      <c r="L94" s="1354"/>
      <c r="M94" s="333"/>
    </row>
    <row r="95" spans="1:13">
      <c r="A95" s="333"/>
      <c r="B95" s="1343"/>
      <c r="C95" s="334"/>
      <c r="D95" s="1365" t="s">
        <v>244</v>
      </c>
      <c r="F95" s="333"/>
      <c r="G95" s="314">
        <v>0</v>
      </c>
      <c r="H95" s="314">
        <v>0</v>
      </c>
      <c r="I95" s="1420"/>
      <c r="J95" s="1421"/>
      <c r="K95" s="1421"/>
      <c r="L95" s="1354"/>
      <c r="M95" s="333"/>
    </row>
    <row r="96" spans="1:13">
      <c r="A96" s="333"/>
      <c r="B96" s="1343"/>
      <c r="C96" s="334"/>
      <c r="D96" s="1365" t="s">
        <v>245</v>
      </c>
      <c r="F96" s="333"/>
      <c r="G96" s="314">
        <v>0.14399999999999999</v>
      </c>
      <c r="H96" s="314">
        <v>2.1469999999999996E-3</v>
      </c>
      <c r="I96" s="1420"/>
      <c r="J96" s="1421"/>
      <c r="K96" s="1421"/>
      <c r="L96" s="1354"/>
      <c r="M96" s="333"/>
    </row>
    <row r="97" spans="1:13" ht="13.5" thickBot="1">
      <c r="A97" s="333"/>
      <c r="B97" s="1343"/>
      <c r="C97" s="334"/>
      <c r="D97" s="1365" t="s">
        <v>744</v>
      </c>
      <c r="F97" s="333"/>
      <c r="G97" s="314">
        <v>0</v>
      </c>
      <c r="H97" s="1370">
        <v>0</v>
      </c>
      <c r="I97" s="1420"/>
      <c r="J97" s="1421"/>
      <c r="K97" s="1421"/>
      <c r="L97" s="1354"/>
      <c r="M97" s="333"/>
    </row>
    <row r="98" spans="1:13" ht="26.25" customHeight="1">
      <c r="A98" s="333"/>
      <c r="B98" s="1343"/>
      <c r="C98" s="334"/>
      <c r="D98" s="2165" t="s">
        <v>745</v>
      </c>
      <c r="E98" s="2165"/>
      <c r="F98" s="2166"/>
      <c r="G98" s="316">
        <v>3.5000000000000003E-2</v>
      </c>
      <c r="H98" s="1425"/>
      <c r="I98" s="1420"/>
      <c r="J98" s="1421"/>
      <c r="K98" s="1423"/>
      <c r="L98" s="1354"/>
      <c r="M98" s="333"/>
    </row>
    <row r="99" spans="1:13" ht="13.5" thickBot="1">
      <c r="A99" s="333"/>
      <c r="B99" s="1343"/>
      <c r="C99" s="2155" t="s">
        <v>746</v>
      </c>
      <c r="D99" s="2155"/>
      <c r="E99" s="2155"/>
      <c r="F99" s="2156"/>
      <c r="G99" s="1371">
        <v>0.17899999999999999</v>
      </c>
      <c r="H99" s="1371">
        <v>2.1469999999999996E-3</v>
      </c>
      <c r="I99" s="1426"/>
      <c r="J99" s="1427"/>
      <c r="K99" s="1427"/>
      <c r="L99" s="1354"/>
      <c r="M99" s="333"/>
    </row>
    <row r="100" spans="1:13" ht="14.25" thickTop="1" thickBot="1">
      <c r="A100" s="333"/>
      <c r="B100" s="1376"/>
      <c r="C100" s="1377"/>
      <c r="D100" s="1377"/>
      <c r="E100" s="1377"/>
      <c r="F100" s="1377"/>
      <c r="G100" s="1379"/>
      <c r="H100" s="1379"/>
      <c r="I100" s="1406"/>
      <c r="J100" s="333"/>
      <c r="K100" s="333"/>
      <c r="L100" s="333"/>
      <c r="M100" s="333"/>
    </row>
    <row r="101" spans="1:13">
      <c r="A101" s="333"/>
      <c r="B101" s="1133"/>
      <c r="C101" s="1133"/>
      <c r="D101" s="1133"/>
      <c r="E101" s="1133"/>
      <c r="F101" s="1133"/>
      <c r="G101" s="333"/>
      <c r="H101" s="333"/>
      <c r="I101" s="333"/>
      <c r="J101" s="333"/>
      <c r="K101" s="333"/>
      <c r="L101" s="333"/>
      <c r="M101" s="333"/>
    </row>
  </sheetData>
  <mergeCells count="32">
    <mergeCell ref="C89:F89"/>
    <mergeCell ref="C94:F94"/>
    <mergeCell ref="D98:F98"/>
    <mergeCell ref="C99:F99"/>
    <mergeCell ref="D63:F63"/>
    <mergeCell ref="C65:E65"/>
    <mergeCell ref="C76:F76"/>
    <mergeCell ref="C83:F83"/>
    <mergeCell ref="C88:F88"/>
    <mergeCell ref="L36:L37"/>
    <mergeCell ref="E37:F37"/>
    <mergeCell ref="C60:E60"/>
    <mergeCell ref="D62:F62"/>
    <mergeCell ref="E43:F43"/>
    <mergeCell ref="E38:F38"/>
    <mergeCell ref="E39:F39"/>
    <mergeCell ref="E40:F40"/>
    <mergeCell ref="E41:F41"/>
    <mergeCell ref="E42:F42"/>
    <mergeCell ref="E50:F50"/>
    <mergeCell ref="E44:F44"/>
    <mergeCell ref="E45:F45"/>
    <mergeCell ref="E46:F46"/>
    <mergeCell ref="E47:F47"/>
    <mergeCell ref="E48:F48"/>
    <mergeCell ref="E49:F49"/>
    <mergeCell ref="D15:F15"/>
    <mergeCell ref="D17:F17"/>
    <mergeCell ref="D21:F21"/>
    <mergeCell ref="D22:F22"/>
    <mergeCell ref="C25:F25"/>
    <mergeCell ref="E36:F36"/>
  </mergeCells>
  <phoneticPr fontId="2"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pageMargins left="0.75" right="0.75" top="1" bottom="1" header="0.5" footer="0.5"/>
  <pageSetup paperSize="9" scale="4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5FFFF"/>
  </sheetPr>
  <dimension ref="A1:J80"/>
  <sheetViews>
    <sheetView zoomScale="70" zoomScaleNormal="70" workbookViewId="0">
      <selection activeCell="T39" sqref="T39"/>
    </sheetView>
  </sheetViews>
  <sheetFormatPr defaultColWidth="8.85546875" defaultRowHeight="10.5"/>
  <cols>
    <col min="1" max="1" width="8.140625" style="367" customWidth="1"/>
    <col min="2" max="2" width="15.42578125" style="367" customWidth="1"/>
    <col min="3" max="3" width="48.7109375" style="367" bestFit="1" customWidth="1"/>
    <col min="4" max="4" width="16.140625" style="367" customWidth="1"/>
    <col min="5" max="6" width="11" style="367" customWidth="1"/>
    <col min="7" max="7" width="17.28515625" style="367" bestFit="1" customWidth="1"/>
    <col min="8" max="10" width="11" style="367" customWidth="1"/>
    <col min="11" max="16384" width="8.85546875" style="367"/>
  </cols>
  <sheetData>
    <row r="1" spans="1:10" ht="12.75" customHeight="1">
      <c r="A1" s="1428" t="s">
        <v>551</v>
      </c>
      <c r="B1" s="1429"/>
      <c r="C1" s="1429"/>
      <c r="D1" s="1429"/>
      <c r="E1" s="1429"/>
      <c r="F1" s="407"/>
      <c r="G1" s="1429"/>
      <c r="H1" s="1429"/>
      <c r="I1" s="1429"/>
    </row>
    <row r="2" spans="1:10" s="1432" customFormat="1" ht="12.75">
      <c r="A2" s="1430"/>
      <c r="B2" s="1431"/>
      <c r="C2" s="1431"/>
      <c r="D2" s="1431"/>
      <c r="E2" s="1431"/>
      <c r="F2" s="1431"/>
      <c r="G2" s="1431"/>
      <c r="H2" s="1431"/>
      <c r="I2" s="1431"/>
    </row>
    <row r="3" spans="1:10" ht="15">
      <c r="A3" s="1428" t="s">
        <v>101</v>
      </c>
      <c r="B3" s="1429"/>
      <c r="C3" s="1429"/>
      <c r="D3" s="1429"/>
      <c r="E3" s="1429"/>
      <c r="F3" s="1429"/>
      <c r="G3" s="1429"/>
      <c r="H3" s="1429"/>
      <c r="I3" s="1429"/>
    </row>
    <row r="4" spans="1:10" ht="12.75">
      <c r="A4" s="1433"/>
      <c r="B4" s="1429"/>
      <c r="C4" s="1429"/>
      <c r="D4" s="1429"/>
      <c r="E4" s="1429"/>
      <c r="F4" s="1429"/>
      <c r="G4" s="1429"/>
      <c r="H4" s="1429"/>
      <c r="I4" s="1429"/>
    </row>
    <row r="5" spans="1:10" ht="20.25">
      <c r="A5" s="2169" t="s">
        <v>747</v>
      </c>
      <c r="B5" s="2169"/>
      <c r="C5" s="2169"/>
      <c r="D5" s="1434"/>
      <c r="E5" s="1435"/>
      <c r="F5" s="1435"/>
      <c r="G5" s="1435"/>
    </row>
    <row r="6" spans="1:10" ht="15" thickBot="1">
      <c r="A6" s="1436"/>
      <c r="B6" s="1436"/>
      <c r="C6" s="1437"/>
      <c r="D6" s="1437"/>
      <c r="E6" s="365"/>
      <c r="F6" s="365"/>
      <c r="G6" s="365"/>
    </row>
    <row r="7" spans="1:10" ht="15.75" thickBot="1">
      <c r="A7" s="1436"/>
      <c r="B7" s="1436"/>
      <c r="C7" s="1438"/>
      <c r="D7" s="1439" t="s">
        <v>210</v>
      </c>
      <c r="E7" s="1439" t="s">
        <v>99</v>
      </c>
      <c r="F7" s="1439" t="s">
        <v>100</v>
      </c>
      <c r="G7" s="1439" t="s">
        <v>101</v>
      </c>
      <c r="H7" s="1439" t="s">
        <v>102</v>
      </c>
      <c r="I7" s="1440" t="s">
        <v>64</v>
      </c>
      <c r="J7" s="1440" t="s">
        <v>213</v>
      </c>
    </row>
    <row r="8" spans="1:10" ht="15">
      <c r="A8" s="1436"/>
      <c r="B8" s="1436"/>
      <c r="C8" s="1441" t="s">
        <v>748</v>
      </c>
      <c r="D8" s="1442"/>
      <c r="E8" s="2170" t="s">
        <v>749</v>
      </c>
      <c r="F8" s="2171"/>
      <c r="G8" s="2171"/>
      <c r="H8" s="2172" t="s">
        <v>750</v>
      </c>
      <c r="I8" s="2173"/>
      <c r="J8" s="2174"/>
    </row>
    <row r="9" spans="1:10" ht="14.25">
      <c r="A9" s="1436"/>
      <c r="B9" s="1436"/>
      <c r="C9" s="1443" t="s">
        <v>751</v>
      </c>
      <c r="D9" s="1444" t="s">
        <v>752</v>
      </c>
      <c r="E9" s="356"/>
      <c r="F9" s="357"/>
      <c r="G9" s="358">
        <v>2.3427699999999998</v>
      </c>
      <c r="H9" s="356"/>
      <c r="I9" s="357"/>
      <c r="J9" s="359"/>
    </row>
    <row r="10" spans="1:10" ht="14.25">
      <c r="A10" s="1436"/>
      <c r="B10" s="1436"/>
      <c r="C10" s="1443" t="s">
        <v>753</v>
      </c>
      <c r="D10" s="1444" t="s">
        <v>754</v>
      </c>
      <c r="E10" s="356"/>
      <c r="F10" s="357"/>
      <c r="G10" s="358">
        <v>1212009</v>
      </c>
      <c r="H10" s="356"/>
      <c r="I10" s="357"/>
      <c r="J10" s="359"/>
    </row>
    <row r="11" spans="1:10" ht="14.25">
      <c r="A11" s="1436"/>
      <c r="B11" s="1436"/>
      <c r="C11" s="1443" t="s">
        <v>755</v>
      </c>
      <c r="D11" s="1444" t="s">
        <v>756</v>
      </c>
      <c r="E11" s="356"/>
      <c r="F11" s="357"/>
      <c r="G11" s="358">
        <v>120232787</v>
      </c>
      <c r="H11" s="356"/>
      <c r="I11" s="357"/>
      <c r="J11" s="359"/>
    </row>
    <row r="12" spans="1:10" ht="15.75" thickBot="1">
      <c r="A12" s="1436"/>
      <c r="B12" s="1436"/>
      <c r="C12" s="1443"/>
      <c r="D12" s="1445"/>
      <c r="E12" s="360"/>
      <c r="F12" s="361"/>
      <c r="G12" s="362"/>
      <c r="H12" s="360"/>
      <c r="I12" s="361"/>
      <c r="J12" s="363"/>
    </row>
    <row r="13" spans="1:10" ht="15">
      <c r="A13" s="1436"/>
      <c r="B13" s="1436"/>
      <c r="C13" s="1446" t="s">
        <v>757</v>
      </c>
      <c r="D13" s="1442"/>
      <c r="E13" s="364"/>
      <c r="F13" s="365"/>
      <c r="G13" s="366"/>
      <c r="J13" s="368"/>
    </row>
    <row r="14" spans="1:10" ht="14.25">
      <c r="A14" s="1436"/>
      <c r="B14" s="1436"/>
      <c r="C14" s="1447"/>
      <c r="D14" s="1444"/>
      <c r="E14" s="364"/>
      <c r="F14" s="365"/>
      <c r="G14" s="366"/>
      <c r="J14" s="368"/>
    </row>
    <row r="15" spans="1:10" ht="14.25">
      <c r="A15" s="1436"/>
      <c r="B15" s="1436"/>
      <c r="C15" s="1448" t="s">
        <v>758</v>
      </c>
      <c r="D15" s="1444"/>
      <c r="E15" s="364"/>
      <c r="F15" s="365"/>
      <c r="G15" s="366"/>
      <c r="J15" s="368"/>
    </row>
    <row r="16" spans="1:10" ht="14.25">
      <c r="A16" s="1436"/>
      <c r="B16" s="1436"/>
      <c r="C16" s="1448" t="s">
        <v>759</v>
      </c>
      <c r="D16" s="1444"/>
      <c r="E16" s="364"/>
      <c r="F16" s="365"/>
      <c r="G16" s="366"/>
      <c r="J16" s="368"/>
    </row>
    <row r="17" spans="1:10" ht="14.25">
      <c r="A17" s="1436"/>
      <c r="B17" s="1436"/>
      <c r="C17" s="1447" t="s">
        <v>760</v>
      </c>
      <c r="D17" s="1444" t="s">
        <v>761</v>
      </c>
      <c r="E17" s="356"/>
      <c r="F17" s="357"/>
      <c r="G17" s="358">
        <v>0</v>
      </c>
      <c r="H17" s="356"/>
      <c r="I17" s="357"/>
      <c r="J17" s="359"/>
    </row>
    <row r="18" spans="1:10" ht="14.25">
      <c r="A18" s="1436"/>
      <c r="B18" s="1436"/>
      <c r="C18" s="1447" t="s">
        <v>245</v>
      </c>
      <c r="D18" s="1444" t="s">
        <v>761</v>
      </c>
      <c r="E18" s="356"/>
      <c r="F18" s="357"/>
      <c r="G18" s="358">
        <v>58</v>
      </c>
      <c r="H18" s="356"/>
      <c r="I18" s="357"/>
      <c r="J18" s="359"/>
    </row>
    <row r="19" spans="1:10" ht="14.25">
      <c r="A19" s="1436"/>
      <c r="B19" s="1436"/>
      <c r="C19" s="1447" t="s">
        <v>244</v>
      </c>
      <c r="D19" s="1444" t="s">
        <v>761</v>
      </c>
      <c r="E19" s="356"/>
      <c r="F19" s="357"/>
      <c r="G19" s="358">
        <v>15443</v>
      </c>
      <c r="H19" s="356"/>
      <c r="I19" s="357"/>
      <c r="J19" s="359"/>
    </row>
    <row r="20" spans="1:10" ht="14.25">
      <c r="A20" s="1436"/>
      <c r="B20" s="1436"/>
      <c r="C20" s="1447" t="s">
        <v>762</v>
      </c>
      <c r="D20" s="1444" t="s">
        <v>761</v>
      </c>
      <c r="E20" s="356"/>
      <c r="F20" s="357"/>
      <c r="G20" s="358">
        <v>6</v>
      </c>
      <c r="H20" s="356"/>
      <c r="I20" s="357"/>
      <c r="J20" s="359"/>
    </row>
    <row r="21" spans="1:10" ht="14.25">
      <c r="A21" s="1436"/>
      <c r="B21" s="1436"/>
      <c r="C21" s="1447"/>
      <c r="D21" s="1444"/>
      <c r="E21" s="364"/>
      <c r="F21" s="365"/>
      <c r="G21" s="366"/>
      <c r="H21" s="364"/>
      <c r="I21" s="365"/>
      <c r="J21" s="369"/>
    </row>
    <row r="22" spans="1:10" ht="14.25">
      <c r="A22" s="1436"/>
      <c r="B22" s="1436"/>
      <c r="C22" s="1448" t="s">
        <v>763</v>
      </c>
      <c r="D22" s="1444"/>
      <c r="E22" s="364"/>
      <c r="F22" s="365"/>
      <c r="G22" s="366"/>
      <c r="H22" s="364"/>
      <c r="I22" s="365"/>
      <c r="J22" s="369"/>
    </row>
    <row r="23" spans="1:10" ht="14.25">
      <c r="A23" s="1436"/>
      <c r="B23" s="1436"/>
      <c r="C23" s="1447" t="s">
        <v>426</v>
      </c>
      <c r="D23" s="1444" t="s">
        <v>230</v>
      </c>
      <c r="E23" s="356"/>
      <c r="F23" s="357"/>
      <c r="G23" s="358">
        <v>0</v>
      </c>
      <c r="H23" s="356"/>
      <c r="I23" s="357"/>
      <c r="J23" s="359"/>
    </row>
    <row r="24" spans="1:10" ht="14.25">
      <c r="A24" s="1436"/>
      <c r="B24" s="1436"/>
      <c r="C24" s="1447" t="s">
        <v>427</v>
      </c>
      <c r="D24" s="1444" t="s">
        <v>230</v>
      </c>
      <c r="E24" s="356"/>
      <c r="F24" s="357"/>
      <c r="G24" s="358">
        <v>0</v>
      </c>
      <c r="H24" s="356"/>
      <c r="I24" s="357"/>
      <c r="J24" s="359"/>
    </row>
    <row r="25" spans="1:10" ht="14.25">
      <c r="A25" s="1436"/>
      <c r="B25" s="1436"/>
      <c r="C25" s="1447" t="s">
        <v>245</v>
      </c>
      <c r="D25" s="1444" t="s">
        <v>230</v>
      </c>
      <c r="E25" s="356"/>
      <c r="F25" s="357"/>
      <c r="G25" s="358">
        <v>44.5</v>
      </c>
      <c r="H25" s="356"/>
      <c r="I25" s="357"/>
      <c r="J25" s="359"/>
    </row>
    <row r="26" spans="1:10" ht="15" thickBot="1">
      <c r="A26" s="1436"/>
      <c r="B26" s="1436"/>
      <c r="C26" s="1447" t="s">
        <v>244</v>
      </c>
      <c r="D26" s="1444" t="s">
        <v>230</v>
      </c>
      <c r="E26" s="356"/>
      <c r="F26" s="357"/>
      <c r="G26" s="358">
        <v>3</v>
      </c>
      <c r="H26" s="356"/>
      <c r="I26" s="357"/>
      <c r="J26" s="359"/>
    </row>
    <row r="27" spans="1:10" ht="15" thickBot="1">
      <c r="A27" s="1436"/>
      <c r="B27" s="1436"/>
      <c r="C27" s="1448" t="s">
        <v>220</v>
      </c>
      <c r="D27" s="1444"/>
      <c r="E27" s="370"/>
      <c r="F27" s="371"/>
      <c r="G27" s="372">
        <v>47.5</v>
      </c>
      <c r="H27" s="371"/>
      <c r="I27" s="371"/>
      <c r="J27" s="373"/>
    </row>
    <row r="28" spans="1:10" ht="14.25">
      <c r="A28" s="1436"/>
      <c r="B28" s="1436"/>
      <c r="C28" s="1447"/>
      <c r="D28" s="1444"/>
      <c r="E28" s="374"/>
      <c r="F28" s="375"/>
      <c r="G28" s="376"/>
      <c r="H28" s="375"/>
      <c r="I28" s="375"/>
      <c r="J28" s="377"/>
    </row>
    <row r="29" spans="1:10" ht="14.25">
      <c r="A29" s="1436"/>
      <c r="B29" s="1436"/>
      <c r="C29" s="1448" t="s">
        <v>764</v>
      </c>
      <c r="D29" s="1444"/>
      <c r="E29" s="374"/>
      <c r="F29" s="375"/>
      <c r="G29" s="376"/>
      <c r="H29" s="375"/>
      <c r="I29" s="375"/>
      <c r="J29" s="377"/>
    </row>
    <row r="30" spans="1:10" ht="14.25">
      <c r="A30" s="1436"/>
      <c r="B30" s="1436"/>
      <c r="C30" s="1447" t="s">
        <v>765</v>
      </c>
      <c r="D30" s="1444" t="s">
        <v>230</v>
      </c>
      <c r="E30" s="356"/>
      <c r="F30" s="357"/>
      <c r="G30" s="358">
        <v>4689.5</v>
      </c>
      <c r="H30" s="356"/>
      <c r="I30" s="357"/>
      <c r="J30" s="359"/>
    </row>
    <row r="31" spans="1:10" ht="14.25">
      <c r="A31" s="1436"/>
      <c r="B31" s="1436"/>
      <c r="C31" s="1447" t="s">
        <v>766</v>
      </c>
      <c r="D31" s="1444" t="s">
        <v>230</v>
      </c>
      <c r="E31" s="356"/>
      <c r="F31" s="357"/>
      <c r="G31" s="358">
        <v>4609.8</v>
      </c>
      <c r="H31" s="356"/>
      <c r="I31" s="357"/>
      <c r="J31" s="359"/>
    </row>
    <row r="32" spans="1:10" ht="14.25">
      <c r="A32" s="1436"/>
      <c r="B32" s="1436"/>
      <c r="C32" s="1447"/>
      <c r="D32" s="1444"/>
      <c r="E32" s="374"/>
      <c r="F32" s="375"/>
      <c r="G32" s="376"/>
      <c r="H32" s="375"/>
      <c r="I32" s="375"/>
      <c r="J32" s="377"/>
    </row>
    <row r="33" spans="1:10" ht="14.25">
      <c r="A33" s="1436"/>
      <c r="B33" s="1436"/>
      <c r="C33" s="1448" t="s">
        <v>767</v>
      </c>
      <c r="D33" s="1444"/>
      <c r="E33" s="374"/>
      <c r="F33" s="375"/>
      <c r="G33" s="376"/>
      <c r="H33" s="375"/>
      <c r="I33" s="375"/>
      <c r="J33" s="377"/>
    </row>
    <row r="34" spans="1:10" ht="14.25">
      <c r="A34" s="1436"/>
      <c r="B34" s="1436"/>
      <c r="C34" s="1447" t="s">
        <v>760</v>
      </c>
      <c r="D34" s="1444" t="s">
        <v>236</v>
      </c>
      <c r="E34" s="356"/>
      <c r="F34" s="357"/>
      <c r="G34" s="358">
        <v>1422.2</v>
      </c>
      <c r="H34" s="356"/>
      <c r="I34" s="357"/>
      <c r="J34" s="359"/>
    </row>
    <row r="35" spans="1:10" ht="14.25">
      <c r="A35" s="1436"/>
      <c r="B35" s="1436"/>
      <c r="C35" s="1447" t="s">
        <v>245</v>
      </c>
      <c r="D35" s="1444" t="s">
        <v>236</v>
      </c>
      <c r="E35" s="356"/>
      <c r="F35" s="357"/>
      <c r="G35" s="358">
        <v>7190.9</v>
      </c>
      <c r="H35" s="356"/>
      <c r="I35" s="357"/>
      <c r="J35" s="359"/>
    </row>
    <row r="36" spans="1:10" ht="15" thickBot="1">
      <c r="A36" s="1436"/>
      <c r="B36" s="1436"/>
      <c r="C36" s="1447" t="s">
        <v>244</v>
      </c>
      <c r="D36" s="1444" t="s">
        <v>236</v>
      </c>
      <c r="E36" s="356"/>
      <c r="F36" s="357"/>
      <c r="G36" s="358">
        <v>16988.7</v>
      </c>
      <c r="H36" s="356"/>
      <c r="I36" s="357"/>
      <c r="J36" s="359"/>
    </row>
    <row r="37" spans="1:10" ht="15" thickBot="1">
      <c r="A37" s="1436"/>
      <c r="B37" s="1436"/>
      <c r="C37" s="1448" t="s">
        <v>220</v>
      </c>
      <c r="D37" s="1444"/>
      <c r="E37" s="370"/>
      <c r="F37" s="371"/>
      <c r="G37" s="372">
        <v>25601.800000000003</v>
      </c>
      <c r="H37" s="371"/>
      <c r="I37" s="371"/>
      <c r="J37" s="373"/>
    </row>
    <row r="38" spans="1:10" ht="14.25">
      <c r="A38" s="1436"/>
      <c r="B38" s="1436"/>
      <c r="C38" s="1447"/>
      <c r="D38" s="1444"/>
      <c r="E38" s="364"/>
      <c r="F38" s="365"/>
      <c r="G38" s="366"/>
      <c r="H38" s="364"/>
      <c r="I38" s="365"/>
      <c r="J38" s="369"/>
    </row>
    <row r="39" spans="1:10" ht="14.25">
      <c r="A39" s="1436"/>
      <c r="B39" s="1436"/>
      <c r="C39" s="1448" t="s">
        <v>768</v>
      </c>
      <c r="D39" s="1444"/>
      <c r="E39" s="364"/>
      <c r="F39" s="365"/>
      <c r="G39" s="366"/>
      <c r="H39" s="364"/>
      <c r="I39" s="365"/>
      <c r="J39" s="369"/>
    </row>
    <row r="40" spans="1:10" ht="14.25">
      <c r="A40" s="1436"/>
      <c r="B40" s="1436"/>
      <c r="C40" s="1447" t="s">
        <v>769</v>
      </c>
      <c r="D40" s="1444" t="s">
        <v>770</v>
      </c>
      <c r="E40" s="356"/>
      <c r="F40" s="357"/>
      <c r="G40" s="358">
        <v>1278.4000000000001</v>
      </c>
      <c r="H40" s="356"/>
      <c r="I40" s="357"/>
      <c r="J40" s="359"/>
    </row>
    <row r="41" spans="1:10" ht="14.25">
      <c r="A41" s="1436"/>
      <c r="B41" s="1436"/>
      <c r="C41" s="1447" t="s">
        <v>771</v>
      </c>
      <c r="D41" s="1444" t="s">
        <v>772</v>
      </c>
      <c r="E41" s="356"/>
      <c r="F41" s="357"/>
      <c r="G41" s="378">
        <v>4.9933989016397284E-2</v>
      </c>
      <c r="H41" s="356"/>
      <c r="I41" s="357"/>
      <c r="J41" s="379"/>
    </row>
    <row r="42" spans="1:10" ht="14.25">
      <c r="A42" s="1436"/>
      <c r="B42" s="1436"/>
      <c r="C42" s="1447"/>
      <c r="D42" s="1444"/>
      <c r="E42" s="374"/>
      <c r="F42" s="375"/>
      <c r="G42" s="376"/>
      <c r="H42" s="375"/>
      <c r="I42" s="375"/>
      <c r="J42" s="377"/>
    </row>
    <row r="43" spans="1:10" ht="15.75" thickBot="1">
      <c r="A43" s="1436"/>
      <c r="B43" s="1436"/>
      <c r="C43" s="1443"/>
      <c r="D43" s="1445"/>
      <c r="E43" s="360"/>
      <c r="F43" s="361"/>
      <c r="G43" s="362"/>
      <c r="H43" s="361"/>
      <c r="I43" s="361"/>
      <c r="J43" s="363"/>
    </row>
    <row r="44" spans="1:10" ht="15">
      <c r="A44" s="1436"/>
      <c r="B44" s="1436"/>
      <c r="C44" s="1446" t="s">
        <v>773</v>
      </c>
      <c r="D44" s="1444"/>
      <c r="E44" s="374"/>
      <c r="F44" s="375"/>
      <c r="G44" s="376"/>
      <c r="H44" s="375"/>
      <c r="I44" s="375"/>
      <c r="J44" s="377"/>
    </row>
    <row r="45" spans="1:10" ht="14.25">
      <c r="A45" s="1436"/>
      <c r="B45" s="1436"/>
      <c r="C45" s="1447"/>
      <c r="D45" s="1444"/>
      <c r="E45" s="374"/>
      <c r="F45" s="375"/>
      <c r="G45" s="376"/>
      <c r="H45" s="375"/>
      <c r="I45" s="375"/>
      <c r="J45" s="377"/>
    </row>
    <row r="46" spans="1:10" ht="14.25">
      <c r="A46" s="1436"/>
      <c r="B46" s="1436"/>
      <c r="C46" s="1448" t="s">
        <v>774</v>
      </c>
      <c r="D46" s="1444"/>
      <c r="E46" s="374"/>
      <c r="F46" s="375"/>
      <c r="G46" s="376"/>
      <c r="H46" s="375"/>
      <c r="I46" s="375"/>
      <c r="J46" s="377"/>
    </row>
    <row r="47" spans="1:10" ht="14.25">
      <c r="A47" s="1436"/>
      <c r="B47" s="1436"/>
      <c r="C47" s="1447" t="s">
        <v>426</v>
      </c>
      <c r="D47" s="1444" t="s">
        <v>775</v>
      </c>
      <c r="E47" s="356"/>
      <c r="F47" s="357"/>
      <c r="G47" s="380">
        <v>1531.6600000000008</v>
      </c>
      <c r="H47" s="356"/>
      <c r="I47" s="357"/>
      <c r="J47" s="381"/>
    </row>
    <row r="48" spans="1:10" ht="14.25">
      <c r="A48" s="1436"/>
      <c r="B48" s="1436"/>
      <c r="C48" s="1447" t="s">
        <v>427</v>
      </c>
      <c r="D48" s="1444" t="s">
        <v>775</v>
      </c>
      <c r="E48" s="356"/>
      <c r="F48" s="357"/>
      <c r="G48" s="380">
        <v>1379.9750000000004</v>
      </c>
      <c r="H48" s="356"/>
      <c r="I48" s="357"/>
      <c r="J48" s="381"/>
    </row>
    <row r="49" spans="1:10" ht="14.25">
      <c r="A49" s="1436"/>
      <c r="B49" s="1436"/>
      <c r="C49" s="1447" t="s">
        <v>245</v>
      </c>
      <c r="D49" s="1444" t="s">
        <v>775</v>
      </c>
      <c r="E49" s="356"/>
      <c r="F49" s="357"/>
      <c r="G49" s="380">
        <v>7832.0000000000045</v>
      </c>
      <c r="H49" s="356"/>
      <c r="I49" s="357"/>
      <c r="J49" s="381"/>
    </row>
    <row r="50" spans="1:10" ht="15" thickBot="1">
      <c r="A50" s="1436"/>
      <c r="B50" s="1436"/>
      <c r="C50" s="1447" t="s">
        <v>244</v>
      </c>
      <c r="D50" s="1444" t="s">
        <v>775</v>
      </c>
      <c r="E50" s="356"/>
      <c r="F50" s="357"/>
      <c r="G50" s="380">
        <v>2309.0000000000005</v>
      </c>
      <c r="H50" s="356"/>
      <c r="I50" s="357"/>
      <c r="J50" s="381"/>
    </row>
    <row r="51" spans="1:10" ht="15" thickBot="1">
      <c r="A51" s="1436"/>
      <c r="B51" s="1436"/>
      <c r="C51" s="1448" t="s">
        <v>220</v>
      </c>
      <c r="D51" s="1444" t="s">
        <v>775</v>
      </c>
      <c r="E51" s="370"/>
      <c r="F51" s="371"/>
      <c r="G51" s="372">
        <v>13052.635000000006</v>
      </c>
      <c r="H51" s="371"/>
      <c r="I51" s="371"/>
      <c r="J51" s="373"/>
    </row>
    <row r="52" spans="1:10" ht="14.25">
      <c r="A52" s="1436"/>
      <c r="B52" s="1436"/>
      <c r="C52" s="1447"/>
      <c r="D52" s="1444"/>
      <c r="E52" s="374"/>
      <c r="F52" s="375"/>
      <c r="G52" s="376"/>
      <c r="H52" s="375"/>
      <c r="I52" s="375"/>
      <c r="J52" s="377"/>
    </row>
    <row r="53" spans="1:10" ht="14.25">
      <c r="A53" s="1436"/>
      <c r="B53" s="1436"/>
      <c r="C53" s="1448" t="s">
        <v>776</v>
      </c>
      <c r="D53" s="1444"/>
      <c r="E53" s="374"/>
      <c r="F53" s="375"/>
      <c r="G53" s="376"/>
      <c r="H53" s="375"/>
      <c r="I53" s="375"/>
      <c r="J53" s="377"/>
    </row>
    <row r="54" spans="1:10" ht="14.25">
      <c r="A54" s="1436"/>
      <c r="B54" s="1436"/>
      <c r="C54" s="1447" t="s">
        <v>426</v>
      </c>
      <c r="D54" s="1444" t="s">
        <v>775</v>
      </c>
      <c r="E54" s="356"/>
      <c r="F54" s="357"/>
      <c r="G54" s="380">
        <v>351.00000000000006</v>
      </c>
      <c r="H54" s="356"/>
      <c r="I54" s="357"/>
      <c r="J54" s="381"/>
    </row>
    <row r="55" spans="1:10" ht="14.25">
      <c r="A55" s="1436"/>
      <c r="B55" s="1436"/>
      <c r="C55" s="1447" t="s">
        <v>427</v>
      </c>
      <c r="D55" s="1444" t="s">
        <v>775</v>
      </c>
      <c r="E55" s="356"/>
      <c r="F55" s="357"/>
      <c r="G55" s="380">
        <v>2199.0000000000005</v>
      </c>
      <c r="H55" s="356"/>
      <c r="I55" s="357"/>
      <c r="J55" s="381"/>
    </row>
    <row r="56" spans="1:10" ht="14.25">
      <c r="A56" s="1436"/>
      <c r="B56" s="1436"/>
      <c r="C56" s="1447" t="s">
        <v>245</v>
      </c>
      <c r="D56" s="1444" t="s">
        <v>775</v>
      </c>
      <c r="E56" s="356"/>
      <c r="F56" s="357"/>
      <c r="G56" s="380">
        <v>12703.000000000005</v>
      </c>
      <c r="H56" s="356"/>
      <c r="I56" s="357"/>
      <c r="J56" s="381"/>
    </row>
    <row r="57" spans="1:10" ht="15" thickBot="1">
      <c r="A57" s="1436"/>
      <c r="B57" s="1436"/>
      <c r="C57" s="1447" t="s">
        <v>244</v>
      </c>
      <c r="D57" s="1444" t="s">
        <v>775</v>
      </c>
      <c r="E57" s="356"/>
      <c r="F57" s="357"/>
      <c r="G57" s="380">
        <v>28214</v>
      </c>
      <c r="H57" s="356"/>
      <c r="I57" s="357"/>
      <c r="J57" s="381"/>
    </row>
    <row r="58" spans="1:10" ht="15" thickBot="1">
      <c r="A58" s="1436"/>
      <c r="B58" s="1436"/>
      <c r="C58" s="1447" t="s">
        <v>220</v>
      </c>
      <c r="D58" s="1444" t="s">
        <v>775</v>
      </c>
      <c r="E58" s="370"/>
      <c r="F58" s="371"/>
      <c r="G58" s="372">
        <v>43467.000000000007</v>
      </c>
      <c r="H58" s="371"/>
      <c r="I58" s="371"/>
      <c r="J58" s="373"/>
    </row>
    <row r="59" spans="1:10" ht="14.25">
      <c r="A59" s="1436"/>
      <c r="B59" s="1436"/>
      <c r="C59" s="1447"/>
      <c r="D59" s="1444"/>
      <c r="E59" s="374"/>
      <c r="F59" s="375"/>
      <c r="G59" s="376"/>
      <c r="H59" s="375"/>
      <c r="I59" s="375"/>
      <c r="J59" s="377"/>
    </row>
    <row r="60" spans="1:10" ht="14.25">
      <c r="A60" s="1436"/>
      <c r="B60" s="1436"/>
      <c r="C60" s="1448" t="s">
        <v>777</v>
      </c>
      <c r="D60" s="1444"/>
      <c r="E60" s="374"/>
      <c r="F60" s="375"/>
      <c r="G60" s="376"/>
      <c r="H60" s="375"/>
      <c r="I60" s="375"/>
      <c r="J60" s="377"/>
    </row>
    <row r="61" spans="1:10" ht="14.25">
      <c r="A61" s="1436"/>
      <c r="B61" s="1436"/>
      <c r="C61" s="1447" t="s">
        <v>426</v>
      </c>
      <c r="D61" s="1444" t="s">
        <v>775</v>
      </c>
      <c r="E61" s="382"/>
      <c r="F61" s="383"/>
      <c r="G61" s="380">
        <v>1882.6600000000008</v>
      </c>
      <c r="H61" s="383"/>
      <c r="I61" s="383"/>
      <c r="J61" s="381"/>
    </row>
    <row r="62" spans="1:10" ht="14.25">
      <c r="A62" s="1436"/>
      <c r="B62" s="1436"/>
      <c r="C62" s="1447" t="s">
        <v>427</v>
      </c>
      <c r="D62" s="1444" t="s">
        <v>775</v>
      </c>
      <c r="E62" s="382"/>
      <c r="F62" s="383"/>
      <c r="G62" s="380">
        <v>3578.9750000000008</v>
      </c>
      <c r="H62" s="383"/>
      <c r="I62" s="383"/>
      <c r="J62" s="381"/>
    </row>
    <row r="63" spans="1:10" ht="14.25">
      <c r="A63" s="1436"/>
      <c r="B63" s="1436"/>
      <c r="C63" s="1447" t="s">
        <v>245</v>
      </c>
      <c r="D63" s="1444" t="s">
        <v>775</v>
      </c>
      <c r="E63" s="382"/>
      <c r="F63" s="383"/>
      <c r="G63" s="380">
        <v>20535.000000000011</v>
      </c>
      <c r="H63" s="383"/>
      <c r="I63" s="383"/>
      <c r="J63" s="381"/>
    </row>
    <row r="64" spans="1:10" ht="15" thickBot="1">
      <c r="A64" s="1436"/>
      <c r="B64" s="1436"/>
      <c r="C64" s="1447" t="s">
        <v>244</v>
      </c>
      <c r="D64" s="1444" t="s">
        <v>775</v>
      </c>
      <c r="E64" s="382"/>
      <c r="F64" s="383"/>
      <c r="G64" s="380">
        <v>30523</v>
      </c>
      <c r="H64" s="383"/>
      <c r="I64" s="383"/>
      <c r="J64" s="381"/>
    </row>
    <row r="65" spans="1:10" ht="15" thickBot="1">
      <c r="A65" s="1436"/>
      <c r="B65" s="1436"/>
      <c r="C65" s="1448" t="s">
        <v>220</v>
      </c>
      <c r="D65" s="1444" t="s">
        <v>775</v>
      </c>
      <c r="E65" s="370"/>
      <c r="F65" s="371"/>
      <c r="G65" s="372">
        <v>56519.635000000009</v>
      </c>
      <c r="H65" s="371"/>
      <c r="I65" s="371"/>
      <c r="J65" s="373"/>
    </row>
    <row r="66" spans="1:10" ht="14.25">
      <c r="A66" s="1436"/>
      <c r="B66" s="1436"/>
      <c r="C66" s="1447"/>
      <c r="D66" s="1444"/>
      <c r="E66" s="374"/>
      <c r="F66" s="375"/>
      <c r="G66" s="376"/>
      <c r="H66" s="375"/>
      <c r="I66" s="375"/>
      <c r="J66" s="377"/>
    </row>
    <row r="67" spans="1:10" ht="14.25">
      <c r="A67" s="1436"/>
      <c r="B67" s="1436"/>
      <c r="C67" s="1448" t="s">
        <v>778</v>
      </c>
      <c r="D67" s="1444"/>
      <c r="E67" s="374"/>
      <c r="F67" s="375"/>
      <c r="G67" s="376"/>
      <c r="H67" s="375"/>
      <c r="I67" s="375"/>
      <c r="J67" s="377"/>
    </row>
    <row r="68" spans="1:10" ht="14.25">
      <c r="A68" s="1436"/>
      <c r="B68" s="1436"/>
      <c r="C68" s="1447" t="s">
        <v>426</v>
      </c>
      <c r="D68" s="1444" t="s">
        <v>779</v>
      </c>
      <c r="E68" s="356"/>
      <c r="F68" s="357"/>
      <c r="G68" s="358">
        <v>96</v>
      </c>
      <c r="H68" s="356"/>
      <c r="I68" s="357"/>
      <c r="J68" s="359"/>
    </row>
    <row r="69" spans="1:10" ht="14.25">
      <c r="A69" s="1436"/>
      <c r="B69" s="1436"/>
      <c r="C69" s="1447" t="s">
        <v>780</v>
      </c>
      <c r="D69" s="1444" t="s">
        <v>779</v>
      </c>
      <c r="E69" s="356"/>
      <c r="F69" s="357"/>
      <c r="G69" s="358">
        <v>389</v>
      </c>
      <c r="H69" s="356"/>
      <c r="I69" s="357"/>
      <c r="J69" s="359"/>
    </row>
    <row r="70" spans="1:10" ht="14.25">
      <c r="A70" s="1436"/>
      <c r="B70" s="1436"/>
      <c r="C70" s="1447" t="s">
        <v>781</v>
      </c>
      <c r="D70" s="1444" t="s">
        <v>779</v>
      </c>
      <c r="E70" s="356"/>
      <c r="F70" s="357"/>
      <c r="G70" s="358">
        <v>0</v>
      </c>
      <c r="H70" s="356"/>
      <c r="I70" s="357"/>
      <c r="J70" s="359"/>
    </row>
    <row r="71" spans="1:10" ht="14.25">
      <c r="A71" s="1436"/>
      <c r="B71" s="1436"/>
      <c r="C71" s="1447" t="s">
        <v>782</v>
      </c>
      <c r="D71" s="1444" t="s">
        <v>779</v>
      </c>
      <c r="E71" s="356"/>
      <c r="F71" s="357"/>
      <c r="G71" s="358">
        <v>17764</v>
      </c>
      <c r="H71" s="356"/>
      <c r="I71" s="357"/>
      <c r="J71" s="359"/>
    </row>
    <row r="72" spans="1:10" ht="15" thickBot="1">
      <c r="A72" s="1436"/>
      <c r="B72" s="1436"/>
      <c r="C72" s="1447" t="s">
        <v>783</v>
      </c>
      <c r="D72" s="1444" t="s">
        <v>779</v>
      </c>
      <c r="E72" s="356"/>
      <c r="F72" s="357"/>
      <c r="G72" s="358">
        <v>22863</v>
      </c>
      <c r="H72" s="356"/>
      <c r="I72" s="357"/>
      <c r="J72" s="359"/>
    </row>
    <row r="73" spans="1:10" ht="15" thickBot="1">
      <c r="A73" s="1436"/>
      <c r="B73" s="1436"/>
      <c r="C73" s="1448" t="s">
        <v>220</v>
      </c>
      <c r="D73" s="1444" t="s">
        <v>779</v>
      </c>
      <c r="E73" s="370"/>
      <c r="F73" s="371"/>
      <c r="G73" s="372">
        <v>41112</v>
      </c>
      <c r="H73" s="371"/>
      <c r="I73" s="371"/>
      <c r="J73" s="373"/>
    </row>
    <row r="74" spans="1:10" ht="15.75" thickBot="1">
      <c r="A74" s="1436"/>
      <c r="B74" s="1436"/>
      <c r="C74" s="360"/>
      <c r="D74" s="1445"/>
      <c r="E74" s="360"/>
      <c r="F74" s="361"/>
      <c r="G74" s="361"/>
      <c r="H74" s="360"/>
      <c r="I74" s="361"/>
      <c r="J74" s="363"/>
    </row>
    <row r="75" spans="1:10" ht="14.25">
      <c r="A75" s="1437"/>
      <c r="B75" s="1437"/>
      <c r="C75" s="1437"/>
      <c r="D75" s="1437"/>
      <c r="E75" s="1437"/>
      <c r="F75" s="1437"/>
      <c r="G75" s="1437"/>
    </row>
    <row r="76" spans="1:10" ht="14.25">
      <c r="A76" s="1436"/>
      <c r="B76" s="1436"/>
      <c r="C76" s="1437"/>
      <c r="D76" s="1437"/>
      <c r="E76" s="1437"/>
      <c r="F76" s="1437"/>
      <c r="G76" s="1437"/>
    </row>
    <row r="77" spans="1:10" ht="14.25">
      <c r="A77" s="1436"/>
      <c r="B77" s="1436"/>
      <c r="C77" s="1437"/>
      <c r="D77" s="1437"/>
      <c r="E77" s="1437"/>
      <c r="F77" s="1437"/>
      <c r="G77" s="1437"/>
    </row>
    <row r="78" spans="1:10" ht="14.25">
      <c r="A78" s="1436"/>
      <c r="B78" s="1436"/>
      <c r="C78" s="1437"/>
      <c r="D78" s="1437"/>
      <c r="E78" s="1437"/>
      <c r="F78" s="1437"/>
      <c r="G78" s="1437"/>
    </row>
    <row r="79" spans="1:10" ht="14.25">
      <c r="A79" s="1436"/>
      <c r="B79" s="1436"/>
      <c r="C79" s="1437"/>
      <c r="D79" s="1437"/>
      <c r="E79" s="1437"/>
      <c r="F79" s="1437"/>
      <c r="G79" s="1437"/>
    </row>
    <row r="80" spans="1:10" ht="14.25">
      <c r="A80" s="1436"/>
      <c r="B80" s="1436"/>
      <c r="C80" s="1437"/>
      <c r="D80" s="1437"/>
      <c r="E80" s="1437"/>
      <c r="F80" s="1437"/>
      <c r="G80" s="1437"/>
    </row>
  </sheetData>
  <mergeCells count="3">
    <mergeCell ref="A5:C5"/>
    <mergeCell ref="E8:G8"/>
    <mergeCell ref="H8:J8"/>
  </mergeCells>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5FFFF"/>
    <pageSetUpPr fitToPage="1"/>
  </sheetPr>
  <dimension ref="A1:M66"/>
  <sheetViews>
    <sheetView zoomScale="70" zoomScaleNormal="70" workbookViewId="0">
      <selection activeCell="AA59" sqref="AA59"/>
    </sheetView>
  </sheetViews>
  <sheetFormatPr defaultColWidth="8.85546875" defaultRowHeight="12.75"/>
  <cols>
    <col min="1" max="4" width="8.85546875" customWidth="1"/>
    <col min="5" max="5" width="17.42578125" customWidth="1"/>
    <col min="6" max="7" width="8.85546875" customWidth="1"/>
    <col min="8" max="9" width="11.140625" bestFit="1" customWidth="1"/>
    <col min="10" max="10" width="15" bestFit="1" customWidth="1"/>
    <col min="11" max="11" width="15.140625" customWidth="1"/>
    <col min="12" max="12" width="10.7109375" bestFit="1" customWidth="1"/>
  </cols>
  <sheetData>
    <row r="1" spans="1:12">
      <c r="C1" s="408" t="s">
        <v>784</v>
      </c>
      <c r="J1" s="407"/>
    </row>
    <row r="8" spans="1:12" ht="15">
      <c r="A8" s="1449" t="s">
        <v>785</v>
      </c>
      <c r="B8" s="1450"/>
      <c r="C8" s="1451"/>
      <c r="D8" s="1452"/>
      <c r="E8" s="1450"/>
      <c r="F8" s="1450"/>
      <c r="G8" s="393"/>
      <c r="H8" s="1453" t="s">
        <v>99</v>
      </c>
      <c r="I8" s="1453" t="s">
        <v>100</v>
      </c>
      <c r="J8" s="1453" t="s">
        <v>101</v>
      </c>
      <c r="K8" s="1453" t="s">
        <v>102</v>
      </c>
      <c r="L8" s="1453" t="s">
        <v>64</v>
      </c>
    </row>
    <row r="9" spans="1:12" ht="15">
      <c r="H9" s="1453">
        <v>16</v>
      </c>
      <c r="I9" s="1453">
        <v>17</v>
      </c>
      <c r="J9" s="1453">
        <v>18</v>
      </c>
      <c r="K9" s="1453">
        <v>19</v>
      </c>
      <c r="L9" s="1453">
        <v>20</v>
      </c>
    </row>
    <row r="10" spans="1:12" ht="15">
      <c r="H10" s="1453"/>
      <c r="I10" s="1453"/>
      <c r="J10" s="1453"/>
      <c r="K10" s="1453"/>
      <c r="L10" s="1453"/>
    </row>
    <row r="11" spans="1:12" ht="14.25">
      <c r="B11" s="393" t="s">
        <v>786</v>
      </c>
      <c r="F11" t="s">
        <v>223</v>
      </c>
      <c r="H11" s="384">
        <v>239.5</v>
      </c>
      <c r="I11" s="384">
        <v>243.97236699999999</v>
      </c>
      <c r="J11" s="384">
        <v>253.35650699999999</v>
      </c>
      <c r="K11" s="384"/>
      <c r="L11" s="384"/>
    </row>
    <row r="12" spans="1:12" ht="14.25">
      <c r="B12" s="393" t="s">
        <v>787</v>
      </c>
      <c r="F12" t="s">
        <v>223</v>
      </c>
      <c r="H12" s="384">
        <v>-3.759366</v>
      </c>
      <c r="I12" s="384">
        <v>-2.9215949999999999</v>
      </c>
      <c r="J12" s="384">
        <v>-3.0408849999999998</v>
      </c>
      <c r="K12" s="384"/>
      <c r="L12" s="384"/>
    </row>
    <row r="13" spans="1:12" ht="14.25">
      <c r="B13" s="393" t="s">
        <v>788</v>
      </c>
      <c r="F13" t="s">
        <v>223</v>
      </c>
      <c r="H13" s="384">
        <v>18.302419</v>
      </c>
      <c r="I13" s="384">
        <v>14.436025000000001</v>
      </c>
      <c r="J13" s="384">
        <v>11.735621999999999</v>
      </c>
      <c r="K13" s="384"/>
      <c r="L13" s="384"/>
    </row>
    <row r="14" spans="1:12" ht="14.25">
      <c r="B14" s="393" t="s">
        <v>789</v>
      </c>
      <c r="F14" t="s">
        <v>223</v>
      </c>
      <c r="H14" s="384">
        <v>-8.1984169999999992</v>
      </c>
      <c r="I14" s="384">
        <v>-28.952825000000001</v>
      </c>
      <c r="J14" s="384">
        <v>-31.179071</v>
      </c>
      <c r="K14" s="384"/>
      <c r="L14" s="384"/>
    </row>
    <row r="15" spans="1:12" ht="14.25">
      <c r="B15" s="393"/>
      <c r="H15" s="385" t="s">
        <v>67</v>
      </c>
      <c r="I15" s="385" t="s">
        <v>67</v>
      </c>
      <c r="J15" s="385" t="s">
        <v>67</v>
      </c>
      <c r="K15" s="385"/>
      <c r="L15" s="385"/>
    </row>
    <row r="16" spans="1:12" ht="14.25">
      <c r="B16" s="393" t="s">
        <v>790</v>
      </c>
      <c r="F16" t="s">
        <v>223</v>
      </c>
      <c r="H16" s="386">
        <v>262.24146999999999</v>
      </c>
      <c r="I16" s="386">
        <v>284.43962199999999</v>
      </c>
      <c r="J16" s="386">
        <v>293.23031500000002</v>
      </c>
      <c r="K16" s="386"/>
      <c r="L16" s="386"/>
    </row>
    <row r="17" spans="1:12" ht="14.25">
      <c r="B17" s="393"/>
      <c r="H17" s="387" t="s">
        <v>67</v>
      </c>
      <c r="I17" s="387" t="s">
        <v>67</v>
      </c>
      <c r="J17" s="387" t="s">
        <v>67</v>
      </c>
      <c r="K17" s="387"/>
      <c r="L17" s="387"/>
    </row>
    <row r="18" spans="1:12" ht="14.25">
      <c r="B18" s="393" t="s">
        <v>791</v>
      </c>
      <c r="F18" t="s">
        <v>223</v>
      </c>
      <c r="H18" s="384">
        <v>234.62</v>
      </c>
      <c r="I18" s="384">
        <v>254.9</v>
      </c>
      <c r="J18" s="384">
        <v>282.85000000000002</v>
      </c>
      <c r="K18" s="384"/>
      <c r="L18" s="384"/>
    </row>
    <row r="19" spans="1:12" ht="14.25">
      <c r="B19" s="393" t="s">
        <v>792</v>
      </c>
      <c r="F19" t="s">
        <v>223</v>
      </c>
      <c r="H19" s="384">
        <v>0</v>
      </c>
      <c r="I19" s="384">
        <v>0</v>
      </c>
      <c r="J19" s="384">
        <v>0</v>
      </c>
      <c r="K19" s="384"/>
      <c r="L19" s="384"/>
    </row>
    <row r="20" spans="1:12" ht="14.25">
      <c r="B20" s="393"/>
      <c r="H20" s="385" t="s">
        <v>67</v>
      </c>
      <c r="I20" s="385" t="s">
        <v>67</v>
      </c>
      <c r="J20" s="385" t="s">
        <v>67</v>
      </c>
      <c r="K20" s="385"/>
      <c r="L20" s="385"/>
    </row>
    <row r="21" spans="1:12" ht="14.25">
      <c r="B21" s="393" t="s">
        <v>793</v>
      </c>
      <c r="F21" t="s">
        <v>223</v>
      </c>
      <c r="H21" s="388">
        <v>-27.621469999999999</v>
      </c>
      <c r="I21" s="388">
        <v>-29.539622000000001</v>
      </c>
      <c r="J21" s="388">
        <v>-10.380315</v>
      </c>
      <c r="K21" s="388"/>
      <c r="L21" s="388"/>
    </row>
    <row r="22" spans="1:12" ht="14.25">
      <c r="H22" s="387" t="s">
        <v>67</v>
      </c>
      <c r="I22" s="387" t="s">
        <v>67</v>
      </c>
      <c r="J22" s="387" t="s">
        <v>67</v>
      </c>
      <c r="K22" s="387"/>
      <c r="L22" s="387"/>
    </row>
    <row r="23" spans="1:12" ht="14.25">
      <c r="H23" s="387" t="s">
        <v>67</v>
      </c>
      <c r="I23" s="387" t="s">
        <v>67</v>
      </c>
      <c r="J23" s="387" t="s">
        <v>67</v>
      </c>
      <c r="K23" s="387"/>
      <c r="L23" s="387"/>
    </row>
    <row r="24" spans="1:12" ht="15">
      <c r="A24" s="1449" t="s">
        <v>794</v>
      </c>
      <c r="H24" s="387" t="s">
        <v>67</v>
      </c>
      <c r="I24" s="387" t="s">
        <v>67</v>
      </c>
      <c r="J24" s="387" t="s">
        <v>67</v>
      </c>
      <c r="K24" s="387"/>
      <c r="L24" s="387"/>
    </row>
    <row r="25" spans="1:12" ht="14.25">
      <c r="H25" s="387" t="s">
        <v>67</v>
      </c>
      <c r="I25" s="387" t="s">
        <v>67</v>
      </c>
      <c r="J25" s="387" t="s">
        <v>67</v>
      </c>
      <c r="K25" s="387"/>
      <c r="L25" s="387"/>
    </row>
    <row r="26" spans="1:12" ht="14.25">
      <c r="B26" s="393" t="s">
        <v>795</v>
      </c>
      <c r="F26" t="s">
        <v>223</v>
      </c>
      <c r="H26" s="384">
        <v>1.2500000000000001E-2</v>
      </c>
      <c r="I26" s="384">
        <v>2.308E-2</v>
      </c>
      <c r="J26" s="384">
        <v>0.16491400000000001</v>
      </c>
      <c r="K26" s="384"/>
      <c r="L26" s="384"/>
    </row>
    <row r="27" spans="1:12" ht="14.25">
      <c r="B27" s="393" t="s">
        <v>796</v>
      </c>
      <c r="F27" t="s">
        <v>223</v>
      </c>
      <c r="H27" s="384">
        <v>0</v>
      </c>
      <c r="I27" s="384">
        <v>0</v>
      </c>
      <c r="J27" s="384">
        <v>0</v>
      </c>
      <c r="K27" s="384"/>
      <c r="L27" s="384"/>
    </row>
    <row r="28" spans="1:12" ht="14.25">
      <c r="B28" s="393" t="s">
        <v>797</v>
      </c>
      <c r="F28" t="s">
        <v>223</v>
      </c>
      <c r="H28" s="384">
        <v>0</v>
      </c>
      <c r="I28" s="384">
        <v>-1.3103E-2</v>
      </c>
      <c r="J28" s="384">
        <v>-6.5259999999999997E-3</v>
      </c>
      <c r="K28" s="384"/>
      <c r="L28" s="384"/>
    </row>
    <row r="29" spans="1:12" ht="14.25">
      <c r="B29" s="393"/>
      <c r="H29" s="385" t="s">
        <v>67</v>
      </c>
      <c r="I29" s="385" t="s">
        <v>67</v>
      </c>
      <c r="J29" s="385" t="s">
        <v>67</v>
      </c>
      <c r="K29" s="385"/>
      <c r="L29" s="385"/>
    </row>
    <row r="30" spans="1:12" ht="14.25">
      <c r="B30" s="393" t="s">
        <v>794</v>
      </c>
      <c r="F30" t="s">
        <v>223</v>
      </c>
      <c r="H30" s="386">
        <v>1.2500000000000001E-2</v>
      </c>
      <c r="I30" s="386">
        <v>3.6183E-2</v>
      </c>
      <c r="J30" s="386">
        <v>0.17144000000000001</v>
      </c>
      <c r="K30" s="386"/>
      <c r="L30" s="386"/>
    </row>
    <row r="31" spans="1:12" ht="14.25">
      <c r="B31" s="393"/>
      <c r="H31" s="387" t="s">
        <v>67</v>
      </c>
      <c r="I31" s="387" t="s">
        <v>67</v>
      </c>
      <c r="J31" s="387" t="s">
        <v>67</v>
      </c>
      <c r="K31" s="387"/>
      <c r="L31" s="387"/>
    </row>
    <row r="32" spans="1:12" ht="14.25">
      <c r="B32" s="393" t="s">
        <v>798</v>
      </c>
      <c r="F32" t="s">
        <v>223</v>
      </c>
      <c r="H32" s="384">
        <v>0</v>
      </c>
      <c r="I32" s="384">
        <v>0.03</v>
      </c>
      <c r="J32" s="384">
        <v>0.13</v>
      </c>
      <c r="K32" s="384"/>
      <c r="L32" s="384"/>
    </row>
    <row r="33" spans="1:12" ht="14.25">
      <c r="B33" s="393"/>
      <c r="H33" s="387" t="s">
        <v>67</v>
      </c>
      <c r="I33" s="387" t="s">
        <v>67</v>
      </c>
      <c r="J33" s="387" t="s">
        <v>67</v>
      </c>
      <c r="K33" s="387"/>
      <c r="L33" s="387"/>
    </row>
    <row r="34" spans="1:12" ht="14.25">
      <c r="B34" s="393" t="s">
        <v>793</v>
      </c>
      <c r="F34" t="s">
        <v>223</v>
      </c>
      <c r="H34" s="388">
        <v>-1.2500000000000001E-2</v>
      </c>
      <c r="I34" s="388">
        <v>-6.1830000000000001E-3</v>
      </c>
      <c r="J34" s="388">
        <v>-4.1439999999999998E-2</v>
      </c>
      <c r="K34" s="388"/>
      <c r="L34" s="388"/>
    </row>
    <row r="35" spans="1:12" ht="14.25">
      <c r="H35" s="387" t="s">
        <v>67</v>
      </c>
      <c r="I35" s="387" t="s">
        <v>67</v>
      </c>
      <c r="J35" s="387" t="s">
        <v>67</v>
      </c>
      <c r="K35" s="387"/>
      <c r="L35" s="387"/>
    </row>
    <row r="36" spans="1:12" ht="14.25">
      <c r="H36" s="387" t="s">
        <v>67</v>
      </c>
      <c r="I36" s="387" t="s">
        <v>67</v>
      </c>
      <c r="J36" s="387" t="s">
        <v>67</v>
      </c>
      <c r="K36" s="387"/>
      <c r="L36" s="387"/>
    </row>
    <row r="37" spans="1:12" ht="15">
      <c r="A37" s="1449" t="s">
        <v>799</v>
      </c>
      <c r="H37" s="389" t="s">
        <v>67</v>
      </c>
      <c r="I37" s="389" t="s">
        <v>67</v>
      </c>
      <c r="J37" s="389" t="s">
        <v>67</v>
      </c>
      <c r="K37" s="389"/>
      <c r="L37" s="389"/>
    </row>
    <row r="38" spans="1:12" ht="14.25">
      <c r="B38" s="393" t="s">
        <v>800</v>
      </c>
      <c r="F38" t="s">
        <v>223</v>
      </c>
      <c r="H38" s="384">
        <v>7.95</v>
      </c>
      <c r="I38" s="384">
        <v>8.23</v>
      </c>
      <c r="J38" s="384">
        <v>7.84</v>
      </c>
      <c r="K38" s="384"/>
      <c r="L38" s="384"/>
    </row>
    <row r="39" spans="1:12" ht="14.25">
      <c r="B39" s="393" t="s">
        <v>801</v>
      </c>
      <c r="F39" t="s">
        <v>223</v>
      </c>
      <c r="H39" s="384">
        <v>6.6372999999999998</v>
      </c>
      <c r="I39" s="384">
        <v>6.8353250000000001</v>
      </c>
      <c r="J39" s="390">
        <v>0</v>
      </c>
      <c r="K39" s="390"/>
      <c r="L39" s="390"/>
    </row>
    <row r="40" spans="1:12" ht="14.25">
      <c r="C40" s="393"/>
      <c r="H40" s="387" t="s">
        <v>67</v>
      </c>
      <c r="I40" s="387" t="s">
        <v>67</v>
      </c>
      <c r="J40" s="387" t="s">
        <v>67</v>
      </c>
      <c r="K40" s="387"/>
      <c r="L40" s="387"/>
    </row>
    <row r="41" spans="1:12" ht="14.25">
      <c r="H41" s="391">
        <v>14.587300000000001</v>
      </c>
      <c r="I41" s="391">
        <v>15.065325</v>
      </c>
      <c r="J41" s="391">
        <v>7.84</v>
      </c>
      <c r="K41" s="391"/>
      <c r="L41" s="391"/>
    </row>
    <row r="42" spans="1:12" ht="14.25">
      <c r="H42" s="389" t="s">
        <v>67</v>
      </c>
      <c r="I42" s="389" t="s">
        <v>67</v>
      </c>
      <c r="J42" s="389" t="s">
        <v>67</v>
      </c>
      <c r="K42" s="389"/>
      <c r="L42" s="389"/>
    </row>
    <row r="43" spans="1:12" ht="14.25">
      <c r="H43" s="389" t="s">
        <v>67</v>
      </c>
      <c r="I43" s="389" t="s">
        <v>67</v>
      </c>
      <c r="J43" s="389" t="s">
        <v>67</v>
      </c>
      <c r="K43" s="389"/>
      <c r="L43" s="389"/>
    </row>
    <row r="44" spans="1:12" ht="15">
      <c r="A44" s="1449" t="s">
        <v>802</v>
      </c>
      <c r="H44" s="389" t="s">
        <v>67</v>
      </c>
      <c r="I44" s="389" t="s">
        <v>67</v>
      </c>
      <c r="J44" s="389" t="s">
        <v>67</v>
      </c>
      <c r="K44" s="389"/>
      <c r="L44" s="389"/>
    </row>
    <row r="45" spans="1:12" ht="15">
      <c r="A45" s="1449"/>
      <c r="B45" s="393" t="s">
        <v>803</v>
      </c>
      <c r="F45" t="s">
        <v>223</v>
      </c>
      <c r="H45" s="384">
        <v>62.43</v>
      </c>
      <c r="I45" s="384">
        <v>76.44</v>
      </c>
      <c r="J45" s="384">
        <v>97.97</v>
      </c>
      <c r="K45" s="384"/>
      <c r="L45" s="384"/>
    </row>
    <row r="46" spans="1:12" ht="14.25">
      <c r="B46" s="393" t="s">
        <v>804</v>
      </c>
      <c r="F46" t="s">
        <v>223</v>
      </c>
      <c r="H46" s="392">
        <v>5.77</v>
      </c>
      <c r="I46" s="392">
        <v>10.16</v>
      </c>
      <c r="J46" s="392">
        <v>8.58</v>
      </c>
      <c r="K46" s="392"/>
      <c r="L46" s="392"/>
    </row>
    <row r="47" spans="1:12" ht="14.25">
      <c r="B47" s="393" t="s">
        <v>805</v>
      </c>
      <c r="F47" t="s">
        <v>223</v>
      </c>
      <c r="H47" s="392">
        <v>0.22</v>
      </c>
      <c r="I47" s="392">
        <v>9.69</v>
      </c>
      <c r="J47" s="392">
        <v>0.62</v>
      </c>
      <c r="K47" s="392"/>
      <c r="L47" s="392"/>
    </row>
    <row r="48" spans="1:12" ht="14.25">
      <c r="H48" s="389" t="s">
        <v>67</v>
      </c>
      <c r="I48" s="389" t="s">
        <v>67</v>
      </c>
      <c r="J48" s="389" t="s">
        <v>67</v>
      </c>
      <c r="K48" s="389"/>
      <c r="L48" s="389"/>
    </row>
    <row r="49" spans="2:13" ht="14.25">
      <c r="H49" s="388">
        <v>68.42</v>
      </c>
      <c r="I49" s="388">
        <v>96.29</v>
      </c>
      <c r="J49" s="388">
        <v>107.17</v>
      </c>
      <c r="K49" s="388"/>
      <c r="L49" s="388"/>
    </row>
    <row r="50" spans="2:13" ht="14.25">
      <c r="H50" s="393"/>
      <c r="I50" s="393"/>
      <c r="J50" s="393"/>
      <c r="K50" s="393"/>
      <c r="L50" s="393"/>
    </row>
    <row r="51" spans="2:13" ht="14.25">
      <c r="H51" s="394"/>
      <c r="I51" s="394"/>
      <c r="J51" s="394"/>
      <c r="K51" s="394"/>
      <c r="L51" s="394"/>
    </row>
    <row r="52" spans="2:13" ht="14.25">
      <c r="H52" s="393"/>
      <c r="I52" s="393"/>
      <c r="J52" s="393"/>
      <c r="K52" s="393"/>
      <c r="L52" s="393"/>
    </row>
    <row r="54" spans="2:13" ht="15">
      <c r="B54" s="1454" t="s">
        <v>806</v>
      </c>
      <c r="C54" s="398" t="s">
        <v>807</v>
      </c>
      <c r="D54" s="398"/>
      <c r="E54" s="398"/>
      <c r="F54" s="395"/>
      <c r="G54" s="395"/>
      <c r="H54" s="395"/>
      <c r="I54" s="395"/>
      <c r="J54" s="395"/>
      <c r="K54" s="395"/>
      <c r="L54" s="395"/>
      <c r="M54" s="395"/>
    </row>
    <row r="55" spans="2:13" ht="30">
      <c r="B55" s="1454" t="s">
        <v>808</v>
      </c>
      <c r="C55" s="1455" t="s">
        <v>809</v>
      </c>
      <c r="D55" s="1456"/>
      <c r="E55" s="1456"/>
      <c r="F55" s="1456"/>
      <c r="G55" s="1456"/>
      <c r="H55" s="1456"/>
      <c r="I55" s="1456"/>
      <c r="J55" s="1456"/>
      <c r="K55" s="1456"/>
      <c r="L55" s="1456"/>
      <c r="M55" s="1456"/>
    </row>
    <row r="56" spans="2:13" ht="15">
      <c r="B56" s="398" t="s">
        <v>786</v>
      </c>
      <c r="C56" s="398"/>
      <c r="D56" s="398"/>
      <c r="E56" s="398"/>
      <c r="F56" s="395"/>
      <c r="G56" s="395"/>
      <c r="H56" s="395"/>
      <c r="I56" s="395"/>
      <c r="J56" s="395"/>
      <c r="K56" s="395"/>
      <c r="L56" s="395"/>
      <c r="M56" s="395"/>
    </row>
    <row r="57" spans="2:13" ht="18">
      <c r="B57" s="1457" t="s">
        <v>810</v>
      </c>
      <c r="C57" s="395"/>
      <c r="D57" s="1457" t="s">
        <v>999</v>
      </c>
      <c r="E57" s="1457"/>
      <c r="F57" s="1457"/>
      <c r="G57" s="1457"/>
      <c r="H57" s="395"/>
      <c r="I57" s="395"/>
      <c r="J57" s="395"/>
      <c r="K57" s="395"/>
      <c r="L57" s="395"/>
      <c r="M57" s="395"/>
    </row>
    <row r="58" spans="2:13">
      <c r="B58" s="395"/>
      <c r="C58" s="395"/>
      <c r="D58" s="395"/>
      <c r="E58" s="395"/>
      <c r="F58" s="395"/>
      <c r="G58" s="395"/>
      <c r="H58" s="395"/>
      <c r="I58" s="395"/>
      <c r="J58" s="396" t="s">
        <v>811</v>
      </c>
      <c r="K58" s="396"/>
      <c r="L58" s="395"/>
      <c r="M58" s="395"/>
    </row>
    <row r="59" spans="2:13" ht="14.25">
      <c r="B59" s="395"/>
      <c r="C59" s="395"/>
      <c r="D59" s="395"/>
      <c r="E59" s="395"/>
      <c r="F59" s="395"/>
      <c r="G59" s="395"/>
      <c r="H59" s="395"/>
      <c r="I59" s="395"/>
      <c r="J59" s="397" t="s">
        <v>101</v>
      </c>
      <c r="K59" s="395"/>
      <c r="L59" s="395"/>
      <c r="M59" s="395"/>
    </row>
    <row r="60" spans="2:13" ht="15">
      <c r="B60" s="396" t="s">
        <v>812</v>
      </c>
      <c r="C60" s="396" t="s">
        <v>813</v>
      </c>
      <c r="D60" s="396"/>
      <c r="E60" s="396"/>
      <c r="F60" s="396"/>
      <c r="G60" s="396"/>
      <c r="H60" s="395"/>
      <c r="I60" s="395"/>
      <c r="J60" s="395"/>
      <c r="K60" s="398" t="s">
        <v>814</v>
      </c>
      <c r="L60" s="398"/>
      <c r="M60" s="398"/>
    </row>
    <row r="61" spans="2:13" ht="18">
      <c r="B61" s="1457" t="s">
        <v>1000</v>
      </c>
      <c r="C61" s="1457" t="s">
        <v>815</v>
      </c>
      <c r="D61" s="1457"/>
      <c r="E61" s="1457"/>
      <c r="F61" s="1457" t="s">
        <v>223</v>
      </c>
      <c r="G61" s="395"/>
      <c r="H61" s="395"/>
      <c r="I61" s="395"/>
      <c r="J61" s="1458">
        <v>234.02597</v>
      </c>
      <c r="K61" s="1457" t="s">
        <v>816</v>
      </c>
      <c r="L61" s="395"/>
      <c r="M61" s="395"/>
    </row>
    <row r="62" spans="2:13" ht="18">
      <c r="B62" s="1457" t="s">
        <v>1001</v>
      </c>
      <c r="C62" s="1457" t="s">
        <v>817</v>
      </c>
      <c r="D62" s="1457"/>
      <c r="E62" s="395"/>
      <c r="F62" s="395"/>
      <c r="G62" s="395"/>
      <c r="H62" s="395"/>
      <c r="I62" s="395"/>
      <c r="J62" s="1458">
        <v>1.06396</v>
      </c>
      <c r="K62" s="1457" t="s">
        <v>818</v>
      </c>
      <c r="L62" s="395"/>
      <c r="M62" s="395"/>
    </row>
    <row r="63" spans="2:13" ht="18">
      <c r="B63" s="1457" t="s">
        <v>1002</v>
      </c>
      <c r="C63" s="1457" t="s">
        <v>819</v>
      </c>
      <c r="D63" s="1457"/>
      <c r="E63" s="395"/>
      <c r="F63" s="1457" t="s">
        <v>223</v>
      </c>
      <c r="G63" s="395"/>
      <c r="H63" s="395"/>
      <c r="I63" s="395"/>
      <c r="J63" s="1458">
        <v>0</v>
      </c>
      <c r="K63" s="1457" t="s">
        <v>820</v>
      </c>
      <c r="L63" s="395"/>
      <c r="M63" s="395"/>
    </row>
    <row r="64" spans="2:13">
      <c r="B64" s="395"/>
      <c r="C64" s="395"/>
      <c r="D64" s="395"/>
      <c r="E64" s="395"/>
      <c r="F64" s="395"/>
      <c r="G64" s="395"/>
      <c r="H64" s="395"/>
      <c r="I64" s="395"/>
      <c r="J64" s="395"/>
      <c r="K64" s="395"/>
      <c r="L64" s="395"/>
      <c r="M64" s="395"/>
    </row>
    <row r="65" spans="2:13">
      <c r="K65" s="395"/>
      <c r="L65" s="395"/>
      <c r="M65" s="395"/>
    </row>
    <row r="66" spans="2:13">
      <c r="B66" s="395"/>
      <c r="C66" s="395"/>
      <c r="D66" s="395"/>
      <c r="E66" s="395"/>
      <c r="F66" s="395"/>
      <c r="G66" s="395"/>
      <c r="H66" s="395"/>
      <c r="I66" s="395"/>
      <c r="J66" s="395"/>
      <c r="K66" s="395"/>
      <c r="L66" s="395"/>
      <c r="M66" s="395"/>
    </row>
  </sheetData>
  <phoneticPr fontId="2" type="noConversion"/>
  <pageMargins left="0.75" right="0.75" top="1" bottom="1" header="0.5" footer="0.5"/>
  <pageSetup paperSize="9" scale="57"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L35"/>
  <sheetViews>
    <sheetView showGridLines="0" tabSelected="1" workbookViewId="0">
      <selection activeCell="H36" sqref="H36"/>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Electricity North West in 2016/17  Status: 2007/08</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28" t="s">
        <v>1019</v>
      </c>
      <c r="C6" s="28" t="s">
        <v>1020</v>
      </c>
      <c r="D6" s="28" t="s">
        <v>101</v>
      </c>
    </row>
    <row r="7" spans="1:7">
      <c r="C7" s="15"/>
    </row>
    <row r="8" spans="1:7">
      <c r="A8" s="5" t="s">
        <v>36</v>
      </c>
      <c r="B8" s="5"/>
    </row>
    <row r="9" spans="1:7">
      <c r="A9" s="2" t="s">
        <v>37</v>
      </c>
    </row>
    <row r="11" spans="1:7">
      <c r="B11" s="16" t="s">
        <v>38</v>
      </c>
    </row>
    <row r="12" spans="1:7" ht="17.25" customHeight="1">
      <c r="A12" s="13" t="s">
        <v>1011</v>
      </c>
      <c r="B12" s="29">
        <v>5.6000000000000001E-2</v>
      </c>
    </row>
    <row r="13" spans="1:7" ht="17.25" customHeight="1">
      <c r="A13" s="13" t="s">
        <v>1012</v>
      </c>
      <c r="B13" s="29">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20"/>
      <c r="C27" s="20"/>
      <c r="D27" s="20"/>
      <c r="E27" s="20"/>
      <c r="F27" s="20"/>
      <c r="G27" s="20"/>
      <c r="H27" s="20"/>
      <c r="I27" s="20"/>
      <c r="J27" s="20"/>
      <c r="K27" s="20"/>
      <c r="L27" s="20"/>
    </row>
    <row r="28" spans="1:12">
      <c r="A28" s="20"/>
      <c r="B28" s="20"/>
      <c r="C28" s="20"/>
      <c r="D28" s="20"/>
      <c r="E28" s="20"/>
      <c r="F28" s="20"/>
      <c r="G28" s="20"/>
      <c r="H28" s="20"/>
      <c r="I28" s="20"/>
      <c r="J28" s="20"/>
      <c r="K28" s="20"/>
      <c r="L28" s="20"/>
    </row>
    <row r="29" spans="1:12">
      <c r="A29" s="20"/>
      <c r="B29" s="17" t="s">
        <v>46</v>
      </c>
      <c r="C29" s="17" t="s">
        <v>47</v>
      </c>
      <c r="D29" s="17" t="s">
        <v>48</v>
      </c>
      <c r="E29" s="17" t="s">
        <v>49</v>
      </c>
      <c r="F29" s="17" t="s">
        <v>50</v>
      </c>
      <c r="G29" s="17" t="s">
        <v>51</v>
      </c>
      <c r="H29" s="17" t="s">
        <v>52</v>
      </c>
      <c r="I29" s="17" t="s">
        <v>53</v>
      </c>
      <c r="J29" s="17" t="s">
        <v>54</v>
      </c>
      <c r="K29" s="17" t="s">
        <v>55</v>
      </c>
      <c r="L29" s="17" t="s">
        <v>56</v>
      </c>
    </row>
    <row r="30" spans="1:12">
      <c r="A30" s="18" t="s">
        <v>1003</v>
      </c>
      <c r="B30" s="21"/>
      <c r="C30" s="21">
        <v>723549091.62275672</v>
      </c>
      <c r="D30" s="21">
        <v>289716519.10908771</v>
      </c>
      <c r="E30" s="21">
        <v>685944712.22650611</v>
      </c>
      <c r="F30" s="21">
        <v>559881594.71701288</v>
      </c>
      <c r="G30" s="21">
        <v>0</v>
      </c>
      <c r="H30" s="21">
        <v>1028762425.9003267</v>
      </c>
      <c r="I30" s="21">
        <v>734382678.33547652</v>
      </c>
      <c r="J30" s="21">
        <v>334062841.19412512</v>
      </c>
      <c r="K30" s="21">
        <v>1485055051.1436617</v>
      </c>
      <c r="L30" s="21">
        <v>36010511.476602562</v>
      </c>
    </row>
    <row r="31" spans="1:12">
      <c r="A31" s="20"/>
      <c r="B31" s="20"/>
      <c r="C31" s="20"/>
      <c r="D31" s="20"/>
      <c r="E31" s="20"/>
      <c r="F31" s="20"/>
      <c r="G31" s="20"/>
      <c r="H31" s="20"/>
      <c r="I31" s="20"/>
      <c r="J31" s="20"/>
      <c r="K31" s="20"/>
      <c r="L31" s="20"/>
    </row>
    <row r="32" spans="1:12">
      <c r="A32" s="5" t="s">
        <v>57</v>
      </c>
      <c r="B32" s="20"/>
      <c r="C32" s="20"/>
      <c r="D32" s="20"/>
      <c r="E32" s="20"/>
      <c r="F32" s="20"/>
      <c r="G32" s="20"/>
      <c r="H32" s="20"/>
      <c r="I32" s="20"/>
      <c r="J32" s="20"/>
      <c r="K32" s="20"/>
      <c r="L32" s="20"/>
    </row>
    <row r="33" spans="1:12">
      <c r="A33" s="20"/>
      <c r="B33" s="20"/>
      <c r="C33" s="20"/>
      <c r="D33" s="20"/>
      <c r="E33" s="20"/>
      <c r="F33" s="20"/>
      <c r="G33" s="20"/>
      <c r="H33" s="20"/>
      <c r="I33" s="20"/>
      <c r="J33" s="20"/>
      <c r="K33" s="20"/>
      <c r="L33" s="20"/>
    </row>
    <row r="34" spans="1:12" ht="30">
      <c r="A34" s="20"/>
      <c r="B34" s="25" t="s">
        <v>58</v>
      </c>
      <c r="C34" s="20"/>
      <c r="D34" s="20"/>
      <c r="E34" s="20"/>
      <c r="F34" s="20"/>
      <c r="G34" s="20"/>
      <c r="H34" s="20"/>
      <c r="I34" s="20"/>
      <c r="J34" s="20"/>
      <c r="K34" s="20"/>
      <c r="L34" s="20"/>
    </row>
    <row r="35" spans="1:12">
      <c r="A35" s="18" t="s">
        <v>58</v>
      </c>
      <c r="B35" s="21">
        <v>303596707.55184925</v>
      </c>
      <c r="C35" s="22"/>
      <c r="D35" s="20"/>
      <c r="E35" s="20"/>
      <c r="F35" s="20"/>
      <c r="G35" s="20"/>
      <c r="H35" s="20"/>
      <c r="I35" s="20"/>
      <c r="J35" s="20"/>
      <c r="K35" s="20"/>
      <c r="L35" s="20"/>
    </row>
  </sheetData>
  <sheetProtection sheet="1" objects="1" scenarios="1"/>
  <phoneticPr fontId="2"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238125</xdr:colOff>
                    <xdr:row>19</xdr:row>
                    <xdr:rowOff>38100</xdr:rowOff>
                  </from>
                  <to>
                    <xdr:col>1</xdr:col>
                    <xdr:colOff>819150</xdr:colOff>
                    <xdr:row>19</xdr:row>
                    <xdr:rowOff>285750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19050</xdr:colOff>
                    <xdr:row>19</xdr:row>
                    <xdr:rowOff>38100</xdr:rowOff>
                  </from>
                  <to>
                    <xdr:col>2</xdr:col>
                    <xdr:colOff>1009650</xdr:colOff>
                    <xdr:row>19</xdr:row>
                    <xdr:rowOff>285750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5FFFF"/>
    <pageSetUpPr fitToPage="1"/>
  </sheetPr>
  <dimension ref="A2:I163"/>
  <sheetViews>
    <sheetView showGridLines="0" workbookViewId="0">
      <selection activeCell="L41" sqref="L41"/>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2" spans="1:9" customFormat="1" ht="12.75">
      <c r="A2" s="1459" t="s">
        <v>1041</v>
      </c>
      <c r="B2" s="1460"/>
      <c r="C2" s="1460"/>
      <c r="D2" s="1460"/>
      <c r="E2" s="1460"/>
      <c r="F2" s="1460"/>
      <c r="G2" s="1460"/>
      <c r="H2" s="1460"/>
      <c r="I2" s="1460"/>
    </row>
    <row r="3" spans="1:9" hidden="1"/>
    <row r="4" spans="1:9" hidden="1"/>
    <row r="5" spans="1:9" hidden="1"/>
    <row r="6" spans="1:9" hidden="1"/>
    <row r="7" spans="1:9" hidden="1"/>
    <row r="8" spans="1:9" hidden="1"/>
    <row r="9" spans="1:9" hidden="1"/>
    <row r="10" spans="1:9" hidden="1"/>
    <row r="11" spans="1:9" hidden="1"/>
    <row r="12" spans="1:9" hidden="1"/>
    <row r="13" spans="1:9" hidden="1"/>
    <row r="14" spans="1:9" hidden="1"/>
    <row r="16" spans="1:9" customFormat="1" ht="25.5">
      <c r="A16" s="1461"/>
      <c r="B16" s="1462"/>
      <c r="C16" s="1463" t="s">
        <v>97</v>
      </c>
      <c r="D16" s="1464" t="s">
        <v>210</v>
      </c>
      <c r="E16" s="1465" t="s">
        <v>821</v>
      </c>
      <c r="F16" s="1465"/>
      <c r="G16" s="1465" t="s">
        <v>822</v>
      </c>
      <c r="H16" s="1465" t="s">
        <v>823</v>
      </c>
      <c r="I16" s="1465" t="s">
        <v>824</v>
      </c>
    </row>
    <row r="17" spans="1:9" customFormat="1" ht="51">
      <c r="A17" s="1466"/>
      <c r="B17" s="1080"/>
      <c r="C17" s="1467"/>
      <c r="D17" s="1466"/>
      <c r="E17" s="1468" t="s">
        <v>825</v>
      </c>
      <c r="F17" s="1468" t="s">
        <v>826</v>
      </c>
      <c r="G17" s="1468" t="s">
        <v>827</v>
      </c>
      <c r="H17" s="1468" t="s">
        <v>828</v>
      </c>
      <c r="I17" s="1469" t="s">
        <v>829</v>
      </c>
    </row>
    <row r="18" spans="1:9" customFormat="1" ht="12.75">
      <c r="A18" s="1466" t="s">
        <v>109</v>
      </c>
      <c r="B18" s="1080"/>
      <c r="C18" s="1467"/>
      <c r="D18" s="1466"/>
      <c r="E18" s="1466"/>
      <c r="F18" s="1467"/>
      <c r="G18" s="1467"/>
      <c r="H18" s="1467"/>
      <c r="I18" s="1467"/>
    </row>
    <row r="19" spans="1:9" customFormat="1" ht="12.75">
      <c r="A19" s="1470"/>
      <c r="B19" s="1471" t="s">
        <v>454</v>
      </c>
      <c r="C19" s="1079"/>
      <c r="D19" s="1470"/>
      <c r="E19" s="1470"/>
      <c r="F19" s="1079"/>
      <c r="G19" s="1079"/>
      <c r="H19" s="1079"/>
      <c r="I19" s="1079"/>
    </row>
    <row r="20" spans="1:9" customFormat="1" ht="12.75">
      <c r="A20" s="1470"/>
      <c r="B20" s="1471"/>
      <c r="C20" s="1079" t="s">
        <v>111</v>
      </c>
      <c r="D20" s="1470" t="s">
        <v>541</v>
      </c>
      <c r="E20" s="399">
        <v>27.528494505681106</v>
      </c>
      <c r="F20" s="400" t="s">
        <v>830</v>
      </c>
      <c r="G20" s="400">
        <v>27.528494505681106</v>
      </c>
      <c r="H20" s="401">
        <v>2269.9125879231683</v>
      </c>
      <c r="I20" s="401">
        <v>62487.27620501932</v>
      </c>
    </row>
    <row r="21" spans="1:9" customFormat="1" ht="12.75">
      <c r="A21" s="1470"/>
      <c r="B21" s="1471"/>
      <c r="C21" s="1079" t="s">
        <v>112</v>
      </c>
      <c r="D21" s="1470" t="s">
        <v>542</v>
      </c>
      <c r="E21" s="399">
        <v>0.68174660799481313</v>
      </c>
      <c r="F21" s="400" t="s">
        <v>830</v>
      </c>
      <c r="G21" s="400">
        <v>0.68174660799481313</v>
      </c>
      <c r="H21" s="401">
        <v>98345.912216088545</v>
      </c>
      <c r="I21" s="401">
        <v>67046.992063474027</v>
      </c>
    </row>
    <row r="22" spans="1:9" customFormat="1" ht="12.75">
      <c r="A22" s="1470"/>
      <c r="B22" s="1471"/>
      <c r="C22" s="1079"/>
      <c r="D22" s="1470"/>
      <c r="E22" s="399" t="s">
        <v>1039</v>
      </c>
      <c r="F22" s="400"/>
      <c r="G22" s="400">
        <v>0</v>
      </c>
      <c r="H22" s="401" t="s">
        <v>67</v>
      </c>
      <c r="I22" s="401" t="s">
        <v>67</v>
      </c>
    </row>
    <row r="23" spans="1:9" customFormat="1" ht="12.75">
      <c r="A23" s="1470"/>
      <c r="B23" s="1471" t="s">
        <v>113</v>
      </c>
      <c r="C23" s="1079"/>
      <c r="D23" s="1470"/>
      <c r="E23" s="399" t="s">
        <v>1039</v>
      </c>
      <c r="F23" s="400"/>
      <c r="G23" s="400">
        <v>0</v>
      </c>
      <c r="H23" s="401" t="s">
        <v>67</v>
      </c>
      <c r="I23" s="401" t="s">
        <v>67</v>
      </c>
    </row>
    <row r="24" spans="1:9" customFormat="1" ht="12.75">
      <c r="A24" s="1470"/>
      <c r="B24" s="1471"/>
      <c r="C24" s="1079" t="s">
        <v>114</v>
      </c>
      <c r="D24" s="1470" t="s">
        <v>542</v>
      </c>
      <c r="E24" s="399">
        <v>1.5277794536362459</v>
      </c>
      <c r="F24" s="400" t="s">
        <v>830</v>
      </c>
      <c r="G24" s="400">
        <v>1.5277794536362459</v>
      </c>
      <c r="H24" s="401">
        <v>60466.380003209</v>
      </c>
      <c r="I24" s="401">
        <v>92379.293004664272</v>
      </c>
    </row>
    <row r="25" spans="1:9" customFormat="1" ht="12.75">
      <c r="A25" s="1470"/>
      <c r="B25" s="1471"/>
      <c r="C25" s="1079"/>
      <c r="D25" s="1470"/>
      <c r="E25" s="399" t="s">
        <v>1039</v>
      </c>
      <c r="F25" s="400"/>
      <c r="G25" s="400">
        <v>0</v>
      </c>
      <c r="H25" s="401" t="s">
        <v>67</v>
      </c>
      <c r="I25" s="401" t="s">
        <v>67</v>
      </c>
    </row>
    <row r="26" spans="1:9" customFormat="1" ht="12.75">
      <c r="A26" s="1470"/>
      <c r="B26" s="1471" t="s">
        <v>115</v>
      </c>
      <c r="C26" s="1079"/>
      <c r="D26" s="1470"/>
      <c r="E26" s="399" t="s">
        <v>1039</v>
      </c>
      <c r="F26" s="400"/>
      <c r="G26" s="400">
        <v>0</v>
      </c>
      <c r="H26" s="401" t="s">
        <v>67</v>
      </c>
      <c r="I26" s="401" t="s">
        <v>67</v>
      </c>
    </row>
    <row r="27" spans="1:9" customFormat="1" ht="12.75">
      <c r="A27" s="1470"/>
      <c r="B27" s="1471"/>
      <c r="C27" s="1079" t="s">
        <v>116</v>
      </c>
      <c r="D27" s="1470" t="s">
        <v>541</v>
      </c>
      <c r="E27" s="399">
        <v>88.045253901895236</v>
      </c>
      <c r="F27" s="400" t="s">
        <v>830</v>
      </c>
      <c r="G27" s="400">
        <v>88.045253901895236</v>
      </c>
      <c r="H27" s="401">
        <v>4612.8269014203379</v>
      </c>
      <c r="I27" s="401">
        <v>406137.51574104634</v>
      </c>
    </row>
    <row r="28" spans="1:9" customFormat="1" ht="12.75">
      <c r="A28" s="1470"/>
      <c r="B28" s="1471"/>
      <c r="C28" s="1079" t="s">
        <v>117</v>
      </c>
      <c r="D28" s="1470" t="s">
        <v>541</v>
      </c>
      <c r="E28" s="399">
        <v>88.045253901895236</v>
      </c>
      <c r="F28" s="400" t="s">
        <v>830</v>
      </c>
      <c r="G28" s="400">
        <v>88.045253901895236</v>
      </c>
      <c r="H28" s="401">
        <v>4483.2569974058897</v>
      </c>
      <c r="I28" s="401">
        <v>394729.50064405001</v>
      </c>
    </row>
    <row r="29" spans="1:9" customFormat="1" ht="12.75">
      <c r="A29" s="1470"/>
      <c r="B29" s="1471"/>
      <c r="C29" s="1079" t="s">
        <v>118</v>
      </c>
      <c r="D29" s="1470" t="s">
        <v>541</v>
      </c>
      <c r="E29" s="399">
        <v>88.045253901895236</v>
      </c>
      <c r="F29" s="400" t="s">
        <v>830</v>
      </c>
      <c r="G29" s="400">
        <v>88.045253901895236</v>
      </c>
      <c r="H29" s="401">
        <v>19315.005000000001</v>
      </c>
      <c r="I29" s="401">
        <v>1700594.5193413761</v>
      </c>
    </row>
    <row r="30" spans="1:9" customFormat="1" ht="12.75">
      <c r="A30" s="1470"/>
      <c r="B30" s="1471"/>
      <c r="C30" s="1079" t="s">
        <v>119</v>
      </c>
      <c r="D30" s="1470" t="s">
        <v>542</v>
      </c>
      <c r="E30" s="399">
        <v>1.0602953824340386</v>
      </c>
      <c r="F30" s="400" t="s">
        <v>830</v>
      </c>
      <c r="G30" s="400">
        <v>1.0602953824340386</v>
      </c>
      <c r="H30" s="401">
        <v>2352058.6290290575</v>
      </c>
      <c r="I30" s="401">
        <v>2493876.9035736453</v>
      </c>
    </row>
    <row r="31" spans="1:9" customFormat="1" ht="12.75">
      <c r="A31" s="1470"/>
      <c r="B31" s="1471"/>
      <c r="C31" s="1079"/>
      <c r="D31" s="1470"/>
      <c r="E31" s="399" t="s">
        <v>1039</v>
      </c>
      <c r="F31" s="400"/>
      <c r="G31" s="400">
        <v>0</v>
      </c>
      <c r="H31" s="401" t="s">
        <v>67</v>
      </c>
      <c r="I31" s="401" t="s">
        <v>67</v>
      </c>
    </row>
    <row r="32" spans="1:9" customFormat="1" ht="12.75">
      <c r="A32" s="1470"/>
      <c r="B32" s="1471" t="s">
        <v>120</v>
      </c>
      <c r="C32" s="1079"/>
      <c r="D32" s="1470"/>
      <c r="E32" s="399" t="s">
        <v>1039</v>
      </c>
      <c r="F32" s="400"/>
      <c r="G32" s="400">
        <v>0</v>
      </c>
      <c r="H32" s="401" t="s">
        <v>67</v>
      </c>
      <c r="I32" s="401" t="s">
        <v>67</v>
      </c>
    </row>
    <row r="33" spans="1:9" customFormat="1" ht="12.75">
      <c r="A33" s="1470"/>
      <c r="B33" s="1471"/>
      <c r="C33" s="1079" t="s">
        <v>121</v>
      </c>
      <c r="D33" s="1470" t="s">
        <v>542</v>
      </c>
      <c r="E33" s="399">
        <v>7.8700352428272735</v>
      </c>
      <c r="F33" s="400" t="s">
        <v>830</v>
      </c>
      <c r="G33" s="400">
        <v>7.8700352428272735</v>
      </c>
      <c r="H33" s="401">
        <v>3191</v>
      </c>
      <c r="I33" s="401">
        <v>25113.282459861828</v>
      </c>
    </row>
    <row r="34" spans="1:9" customFormat="1" ht="12.75">
      <c r="A34" s="1470"/>
      <c r="B34" s="1471"/>
      <c r="C34" s="1079" t="s">
        <v>122</v>
      </c>
      <c r="D34" s="1470" t="s">
        <v>542</v>
      </c>
      <c r="E34" s="399">
        <v>7.8247094898122382</v>
      </c>
      <c r="F34" s="400" t="s">
        <v>830</v>
      </c>
      <c r="G34" s="400">
        <v>7.8247094898122382</v>
      </c>
      <c r="H34" s="401">
        <v>6908</v>
      </c>
      <c r="I34" s="401">
        <v>54053.093155622941</v>
      </c>
    </row>
    <row r="35" spans="1:9" customFormat="1" ht="12.75">
      <c r="A35" s="1470"/>
      <c r="B35" s="1471"/>
      <c r="C35" s="1079" t="s">
        <v>123</v>
      </c>
      <c r="D35" s="1470" t="s">
        <v>542</v>
      </c>
      <c r="E35" s="399">
        <v>7.8700352428272735</v>
      </c>
      <c r="F35" s="400" t="s">
        <v>830</v>
      </c>
      <c r="G35" s="400">
        <v>7.8700352428272735</v>
      </c>
      <c r="H35" s="401">
        <v>6237</v>
      </c>
      <c r="I35" s="401">
        <v>49085.409809513701</v>
      </c>
    </row>
    <row r="36" spans="1:9" customFormat="1" ht="12.75">
      <c r="A36" s="1470"/>
      <c r="B36" s="1471"/>
      <c r="C36" s="1079" t="s">
        <v>124</v>
      </c>
      <c r="D36" s="1470" t="s">
        <v>542</v>
      </c>
      <c r="E36" s="399">
        <v>5.1206392645214951</v>
      </c>
      <c r="F36" s="400" t="s">
        <v>830</v>
      </c>
      <c r="G36" s="400">
        <v>5.1206392645214951</v>
      </c>
      <c r="H36" s="401">
        <v>18880.694598272767</v>
      </c>
      <c r="I36" s="401">
        <v>96681.226101354419</v>
      </c>
    </row>
    <row r="37" spans="1:9" customFormat="1" ht="12.75">
      <c r="A37" s="1470"/>
      <c r="B37" s="1471"/>
      <c r="C37" s="1079" t="s">
        <v>125</v>
      </c>
      <c r="D37" s="1470" t="s">
        <v>542</v>
      </c>
      <c r="E37" s="399" t="s">
        <v>1039</v>
      </c>
      <c r="F37" s="400" t="s">
        <v>830</v>
      </c>
      <c r="G37" s="400" t="s">
        <v>830</v>
      </c>
      <c r="H37" s="401">
        <v>19878</v>
      </c>
      <c r="I37" s="401" t="s">
        <v>67</v>
      </c>
    </row>
    <row r="38" spans="1:9" customFormat="1" ht="12.75">
      <c r="A38" s="1470"/>
      <c r="B38" s="1471"/>
      <c r="C38" s="1079" t="s">
        <v>126</v>
      </c>
      <c r="D38" s="1470" t="s">
        <v>542</v>
      </c>
      <c r="E38" s="399" t="s">
        <v>1039</v>
      </c>
      <c r="F38" s="400" t="s">
        <v>830</v>
      </c>
      <c r="G38" s="400" t="s">
        <v>67</v>
      </c>
      <c r="H38" s="401">
        <v>0</v>
      </c>
      <c r="I38" s="401" t="s">
        <v>67</v>
      </c>
    </row>
    <row r="39" spans="1:9" customFormat="1" ht="12.75">
      <c r="A39" s="1470"/>
      <c r="B39" s="1471"/>
      <c r="C39" s="1079"/>
      <c r="D39" s="1470"/>
      <c r="E39" s="399" t="s">
        <v>1039</v>
      </c>
      <c r="F39" s="400"/>
      <c r="G39" s="400">
        <v>0</v>
      </c>
      <c r="H39" s="401" t="s">
        <v>67</v>
      </c>
      <c r="I39" s="401" t="s">
        <v>67</v>
      </c>
    </row>
    <row r="40" spans="1:9" customFormat="1" ht="12.75">
      <c r="A40" s="1470" t="s">
        <v>127</v>
      </c>
      <c r="B40" s="1471"/>
      <c r="C40" s="1079"/>
      <c r="D40" s="1470"/>
      <c r="E40" s="399" t="s">
        <v>1039</v>
      </c>
      <c r="F40" s="400"/>
      <c r="G40" s="400">
        <v>0</v>
      </c>
      <c r="H40" s="401" t="s">
        <v>67</v>
      </c>
      <c r="I40" s="401" t="s">
        <v>67</v>
      </c>
    </row>
    <row r="41" spans="1:9" customFormat="1" ht="12.75">
      <c r="A41" s="1470"/>
      <c r="B41" s="1471" t="s">
        <v>454</v>
      </c>
      <c r="C41" s="1079"/>
      <c r="D41" s="1470"/>
      <c r="E41" s="399" t="s">
        <v>1039</v>
      </c>
      <c r="F41" s="400"/>
      <c r="G41" s="400">
        <v>0</v>
      </c>
      <c r="H41" s="401" t="s">
        <v>67</v>
      </c>
      <c r="I41" s="401" t="s">
        <v>67</v>
      </c>
    </row>
    <row r="42" spans="1:9" customFormat="1" ht="12.75">
      <c r="A42" s="1470"/>
      <c r="B42" s="1471"/>
      <c r="C42" s="1079" t="s">
        <v>128</v>
      </c>
      <c r="D42" s="1470" t="s">
        <v>541</v>
      </c>
      <c r="E42" s="399">
        <v>11.909257341536181</v>
      </c>
      <c r="F42" s="400" t="s">
        <v>830</v>
      </c>
      <c r="G42" s="400">
        <v>11.909257341536181</v>
      </c>
      <c r="H42" s="401">
        <v>7768.9155383933221</v>
      </c>
      <c r="I42" s="401">
        <v>92522.014411385186</v>
      </c>
    </row>
    <row r="43" spans="1:9" customFormat="1" ht="12.75">
      <c r="A43" s="1470"/>
      <c r="B43" s="1471"/>
      <c r="C43" s="1079" t="s">
        <v>129</v>
      </c>
      <c r="D43" s="1470" t="s">
        <v>541</v>
      </c>
      <c r="E43" s="399">
        <v>22.212595097048638</v>
      </c>
      <c r="F43" s="400" t="s">
        <v>830</v>
      </c>
      <c r="G43" s="400">
        <v>22.212595097048638</v>
      </c>
      <c r="H43" s="401">
        <v>27</v>
      </c>
      <c r="I43" s="401">
        <v>599.7400676203132</v>
      </c>
    </row>
    <row r="44" spans="1:9" customFormat="1" ht="12.75">
      <c r="A44" s="1470"/>
      <c r="B44" s="1471"/>
      <c r="C44" s="1079" t="s">
        <v>130</v>
      </c>
      <c r="D44" s="1470" t="s">
        <v>541</v>
      </c>
      <c r="E44" s="399">
        <v>0</v>
      </c>
      <c r="F44" s="400" t="s">
        <v>830</v>
      </c>
      <c r="G44" s="400">
        <v>0</v>
      </c>
      <c r="H44" s="401">
        <v>0</v>
      </c>
      <c r="I44" s="401">
        <v>0</v>
      </c>
    </row>
    <row r="45" spans="1:9" customFormat="1" ht="12.75">
      <c r="A45" s="1470"/>
      <c r="B45" s="1471"/>
      <c r="C45" s="1079" t="s">
        <v>131</v>
      </c>
      <c r="D45" s="1470" t="s">
        <v>541</v>
      </c>
      <c r="E45" s="399">
        <v>0</v>
      </c>
      <c r="F45" s="400" t="s">
        <v>830</v>
      </c>
      <c r="G45" s="400">
        <v>0</v>
      </c>
      <c r="H45" s="401">
        <v>0</v>
      </c>
      <c r="I45" s="401">
        <v>0</v>
      </c>
    </row>
    <row r="46" spans="1:9" customFormat="1" ht="12.75">
      <c r="A46" s="1470"/>
      <c r="B46" s="1471"/>
      <c r="C46" s="1079"/>
      <c r="D46" s="1470"/>
      <c r="E46" s="399" t="s">
        <v>1039</v>
      </c>
      <c r="F46" s="400"/>
      <c r="G46" s="400">
        <v>0</v>
      </c>
      <c r="H46" s="401" t="s">
        <v>67</v>
      </c>
      <c r="I46" s="401" t="s">
        <v>67</v>
      </c>
    </row>
    <row r="47" spans="1:9" customFormat="1" ht="12.75">
      <c r="A47" s="1470"/>
      <c r="B47" s="1471" t="s">
        <v>113</v>
      </c>
      <c r="C47" s="1079"/>
      <c r="D47" s="1470"/>
      <c r="E47" s="399" t="s">
        <v>1039</v>
      </c>
      <c r="F47" s="400"/>
      <c r="G47" s="400">
        <v>0</v>
      </c>
      <c r="H47" s="401" t="s">
        <v>67</v>
      </c>
      <c r="I47" s="401" t="s">
        <v>67</v>
      </c>
    </row>
    <row r="48" spans="1:9" customFormat="1" ht="12.75">
      <c r="A48" s="1470"/>
      <c r="B48" s="1471"/>
      <c r="C48" s="1079" t="s">
        <v>132</v>
      </c>
      <c r="D48" s="1470" t="s">
        <v>542</v>
      </c>
      <c r="E48" s="399">
        <v>3.0059101505303327</v>
      </c>
      <c r="F48" s="400" t="s">
        <v>830</v>
      </c>
      <c r="G48" s="400">
        <v>3.0059101505303327</v>
      </c>
      <c r="H48" s="401">
        <v>99519.426920230515</v>
      </c>
      <c r="I48" s="401">
        <v>299146.45555448253</v>
      </c>
    </row>
    <row r="49" spans="1:9" customFormat="1" ht="12.75">
      <c r="A49" s="1470"/>
      <c r="B49" s="1471"/>
      <c r="C49" s="1079" t="s">
        <v>133</v>
      </c>
      <c r="D49" s="1470" t="s">
        <v>542</v>
      </c>
      <c r="E49" s="399">
        <v>0</v>
      </c>
      <c r="F49" s="400" t="s">
        <v>830</v>
      </c>
      <c r="G49" s="400">
        <v>0</v>
      </c>
      <c r="H49" s="401">
        <v>0</v>
      </c>
      <c r="I49" s="401">
        <v>0</v>
      </c>
    </row>
    <row r="50" spans="1:9" customFormat="1" ht="12.75">
      <c r="A50" s="1470"/>
      <c r="B50" s="1471"/>
      <c r="C50" s="1079"/>
      <c r="D50" s="1470"/>
      <c r="E50" s="399" t="s">
        <v>1039</v>
      </c>
      <c r="F50" s="400" t="s">
        <v>830</v>
      </c>
      <c r="G50" s="400" t="s">
        <v>830</v>
      </c>
      <c r="H50" s="401" t="s">
        <v>67</v>
      </c>
      <c r="I50" s="401" t="s">
        <v>67</v>
      </c>
    </row>
    <row r="51" spans="1:9" customFormat="1" ht="12.75">
      <c r="A51" s="1470"/>
      <c r="B51" s="1471" t="s">
        <v>134</v>
      </c>
      <c r="C51" s="1079"/>
      <c r="D51" s="1470"/>
      <c r="E51" s="399" t="s">
        <v>1039</v>
      </c>
      <c r="F51" s="400"/>
      <c r="G51" s="400">
        <v>0</v>
      </c>
      <c r="H51" s="401" t="s">
        <v>67</v>
      </c>
      <c r="I51" s="401" t="s">
        <v>67</v>
      </c>
    </row>
    <row r="52" spans="1:9" customFormat="1" ht="12.75">
      <c r="A52" s="1470"/>
      <c r="B52" s="1471"/>
      <c r="C52" s="1079" t="s">
        <v>135</v>
      </c>
      <c r="D52" s="1470" t="s">
        <v>541</v>
      </c>
      <c r="E52" s="399">
        <v>116.046944137041</v>
      </c>
      <c r="F52" s="400" t="s">
        <v>830</v>
      </c>
      <c r="G52" s="400">
        <v>116.046944137041</v>
      </c>
      <c r="H52" s="401">
        <v>12867.951291556556</v>
      </c>
      <c r="I52" s="401">
        <v>1493286.4246894282</v>
      </c>
    </row>
    <row r="53" spans="1:9" customFormat="1" ht="12.75">
      <c r="A53" s="1470"/>
      <c r="B53" s="1471"/>
      <c r="C53" s="1079" t="s">
        <v>136</v>
      </c>
      <c r="D53" s="1470" t="s">
        <v>541</v>
      </c>
      <c r="E53" s="399">
        <v>0</v>
      </c>
      <c r="F53" s="400" t="s">
        <v>830</v>
      </c>
      <c r="G53" s="400">
        <v>0</v>
      </c>
      <c r="H53" s="401">
        <v>0</v>
      </c>
      <c r="I53" s="401">
        <v>0</v>
      </c>
    </row>
    <row r="54" spans="1:9" customFormat="1" ht="12.75">
      <c r="A54" s="1470"/>
      <c r="B54" s="1471"/>
      <c r="C54" s="1079"/>
      <c r="D54" s="1470"/>
      <c r="E54" s="399" t="s">
        <v>1039</v>
      </c>
      <c r="F54" s="400"/>
      <c r="G54" s="400">
        <v>0</v>
      </c>
      <c r="H54" s="401" t="s">
        <v>67</v>
      </c>
      <c r="I54" s="401" t="s">
        <v>67</v>
      </c>
    </row>
    <row r="55" spans="1:9" customFormat="1" ht="12.75">
      <c r="A55" s="1470"/>
      <c r="B55" s="1471" t="s">
        <v>137</v>
      </c>
      <c r="C55" s="1079"/>
      <c r="D55" s="1470"/>
      <c r="E55" s="399" t="s">
        <v>1039</v>
      </c>
      <c r="F55" s="400"/>
      <c r="G55" s="400">
        <v>0</v>
      </c>
      <c r="H55" s="401" t="s">
        <v>67</v>
      </c>
      <c r="I55" s="401" t="s">
        <v>67</v>
      </c>
    </row>
    <row r="56" spans="1:9" customFormat="1" ht="12.75">
      <c r="A56" s="1470"/>
      <c r="B56" s="1471"/>
      <c r="C56" s="1079" t="s">
        <v>138</v>
      </c>
      <c r="D56" s="1470" t="s">
        <v>541</v>
      </c>
      <c r="E56" s="399">
        <v>348.14083241112297</v>
      </c>
      <c r="F56" s="400" t="s">
        <v>830</v>
      </c>
      <c r="G56" s="400">
        <v>348.14083241112297</v>
      </c>
      <c r="H56" s="401">
        <v>22</v>
      </c>
      <c r="I56" s="401">
        <v>7659.0983130447057</v>
      </c>
    </row>
    <row r="57" spans="1:9" customFormat="1" ht="12.75">
      <c r="A57" s="1470"/>
      <c r="B57" s="1471"/>
      <c r="C57" s="1079"/>
      <c r="D57" s="1470"/>
      <c r="E57" s="399" t="s">
        <v>1039</v>
      </c>
      <c r="F57" s="400" t="s">
        <v>830</v>
      </c>
      <c r="G57" s="400" t="s">
        <v>830</v>
      </c>
      <c r="H57" s="401" t="s">
        <v>67</v>
      </c>
      <c r="I57" s="401" t="s">
        <v>67</v>
      </c>
    </row>
    <row r="58" spans="1:9" customFormat="1" ht="12.75">
      <c r="A58" s="1470"/>
      <c r="B58" s="1471" t="s">
        <v>120</v>
      </c>
      <c r="C58" s="1079"/>
      <c r="D58" s="1470"/>
      <c r="E58" s="399" t="s">
        <v>1039</v>
      </c>
      <c r="F58" s="400"/>
      <c r="G58" s="400">
        <v>0</v>
      </c>
      <c r="H58" s="401" t="s">
        <v>67</v>
      </c>
      <c r="I58" s="401" t="s">
        <v>67</v>
      </c>
    </row>
    <row r="59" spans="1:9" customFormat="1" ht="12.75">
      <c r="A59" s="1470"/>
      <c r="B59" s="1471"/>
      <c r="C59" s="1079" t="s">
        <v>139</v>
      </c>
      <c r="D59" s="1470" t="s">
        <v>542</v>
      </c>
      <c r="E59" s="399">
        <v>15.888864341752473</v>
      </c>
      <c r="F59" s="400" t="s">
        <v>830</v>
      </c>
      <c r="G59" s="400">
        <v>15.888864341752473</v>
      </c>
      <c r="H59" s="401">
        <v>818</v>
      </c>
      <c r="I59" s="401">
        <v>12997.091031553524</v>
      </c>
    </row>
    <row r="60" spans="1:9" customFormat="1" ht="12.75">
      <c r="A60" s="1470"/>
      <c r="B60" s="1471"/>
      <c r="C60" s="1079" t="s">
        <v>140</v>
      </c>
      <c r="D60" s="1470" t="s">
        <v>542</v>
      </c>
      <c r="E60" s="399">
        <v>41.499656717784823</v>
      </c>
      <c r="F60" s="400" t="s">
        <v>830</v>
      </c>
      <c r="G60" s="400">
        <v>41.499656717784823</v>
      </c>
      <c r="H60" s="401">
        <v>10480</v>
      </c>
      <c r="I60" s="401">
        <v>434916.40240238496</v>
      </c>
    </row>
    <row r="61" spans="1:9" customFormat="1" ht="12.75">
      <c r="A61" s="1470"/>
      <c r="B61" s="1471"/>
      <c r="C61" s="1079" t="s">
        <v>141</v>
      </c>
      <c r="D61" s="1470" t="s">
        <v>542</v>
      </c>
      <c r="E61" s="399">
        <v>5.0750740882301191</v>
      </c>
      <c r="F61" s="400" t="s">
        <v>830</v>
      </c>
      <c r="G61" s="400">
        <v>5.0750740882301191</v>
      </c>
      <c r="H61" s="401">
        <v>98</v>
      </c>
      <c r="I61" s="401">
        <v>497.35726064655165</v>
      </c>
    </row>
    <row r="62" spans="1:9" customFormat="1" ht="12.75">
      <c r="A62" s="1470"/>
      <c r="B62" s="1471"/>
      <c r="C62" s="1079" t="s">
        <v>142</v>
      </c>
      <c r="D62" s="1470" t="s">
        <v>542</v>
      </c>
      <c r="E62" s="399">
        <v>11.282999613216058</v>
      </c>
      <c r="F62" s="400" t="s">
        <v>830</v>
      </c>
      <c r="G62" s="400">
        <v>11.282999613216058</v>
      </c>
      <c r="H62" s="401">
        <v>14136</v>
      </c>
      <c r="I62" s="401">
        <v>159496.4825324222</v>
      </c>
    </row>
    <row r="63" spans="1:9" customFormat="1" ht="12.75">
      <c r="A63" s="1470"/>
      <c r="B63" s="1471"/>
      <c r="C63" s="1079" t="s">
        <v>143</v>
      </c>
      <c r="D63" s="1470" t="s">
        <v>542</v>
      </c>
      <c r="E63" s="399">
        <v>19.56878449824524</v>
      </c>
      <c r="F63" s="400" t="s">
        <v>830</v>
      </c>
      <c r="G63" s="400">
        <v>19.56878449824524</v>
      </c>
      <c r="H63" s="401">
        <v>10373</v>
      </c>
      <c r="I63" s="401">
        <v>202987.00160029787</v>
      </c>
    </row>
    <row r="64" spans="1:9" customFormat="1" ht="12.75">
      <c r="A64" s="1470"/>
      <c r="B64" s="1471"/>
      <c r="C64" s="1079" t="s">
        <v>144</v>
      </c>
      <c r="D64" s="1470" t="s">
        <v>542</v>
      </c>
      <c r="E64" s="399">
        <v>5.0750740882301191</v>
      </c>
      <c r="F64" s="400" t="s">
        <v>830</v>
      </c>
      <c r="G64" s="400">
        <v>5.0750740882301191</v>
      </c>
      <c r="H64" s="401">
        <v>9691</v>
      </c>
      <c r="I64" s="401">
        <v>49182.542989038084</v>
      </c>
    </row>
    <row r="65" spans="1:9" customFormat="1" ht="12.75">
      <c r="A65" s="1470"/>
      <c r="B65" s="1471"/>
      <c r="C65" s="1079" t="s">
        <v>145</v>
      </c>
      <c r="D65" s="1470" t="s">
        <v>542</v>
      </c>
      <c r="E65" s="399">
        <v>11.282999613216058</v>
      </c>
      <c r="F65" s="400" t="s">
        <v>830</v>
      </c>
      <c r="G65" s="400">
        <v>11.282999613216058</v>
      </c>
      <c r="H65" s="401">
        <v>6</v>
      </c>
      <c r="I65" s="401">
        <v>67.69799767929635</v>
      </c>
    </row>
    <row r="66" spans="1:9" customFormat="1" ht="12.75">
      <c r="A66" s="1470"/>
      <c r="B66" s="1471"/>
      <c r="C66" s="1079" t="s">
        <v>146</v>
      </c>
      <c r="D66" s="1470" t="s">
        <v>542</v>
      </c>
      <c r="E66" s="399">
        <v>0</v>
      </c>
      <c r="F66" s="400" t="s">
        <v>830</v>
      </c>
      <c r="G66" s="400">
        <v>0</v>
      </c>
      <c r="H66" s="401">
        <v>0</v>
      </c>
      <c r="I66" s="401">
        <v>0</v>
      </c>
    </row>
    <row r="67" spans="1:9" customFormat="1" ht="12.75">
      <c r="A67" s="1470"/>
      <c r="B67" s="1471"/>
      <c r="C67" s="1079" t="s">
        <v>147</v>
      </c>
      <c r="D67" s="1470" t="s">
        <v>542</v>
      </c>
      <c r="E67" s="399">
        <v>0</v>
      </c>
      <c r="F67" s="400" t="s">
        <v>830</v>
      </c>
      <c r="G67" s="400">
        <v>0</v>
      </c>
      <c r="H67" s="401">
        <v>0</v>
      </c>
      <c r="I67" s="401">
        <v>0</v>
      </c>
    </row>
    <row r="68" spans="1:9" customFormat="1" ht="12.75">
      <c r="A68" s="1470"/>
      <c r="B68" s="1471"/>
      <c r="C68" s="1079" t="s">
        <v>148</v>
      </c>
      <c r="D68" s="1470" t="s">
        <v>542</v>
      </c>
      <c r="E68" s="399">
        <v>0</v>
      </c>
      <c r="F68" s="400" t="s">
        <v>830</v>
      </c>
      <c r="G68" s="400">
        <v>0</v>
      </c>
      <c r="H68" s="401">
        <v>0</v>
      </c>
      <c r="I68" s="401">
        <v>0</v>
      </c>
    </row>
    <row r="69" spans="1:9" customFormat="1" ht="12.75">
      <c r="A69" s="1470"/>
      <c r="B69" s="1471"/>
      <c r="C69" s="1079" t="s">
        <v>149</v>
      </c>
      <c r="D69" s="1470" t="s">
        <v>542</v>
      </c>
      <c r="E69" s="399">
        <v>0</v>
      </c>
      <c r="F69" s="400" t="s">
        <v>830</v>
      </c>
      <c r="G69" s="400">
        <v>0</v>
      </c>
      <c r="H69" s="401">
        <v>0</v>
      </c>
      <c r="I69" s="401">
        <v>0</v>
      </c>
    </row>
    <row r="70" spans="1:9" customFormat="1" ht="12.75">
      <c r="A70" s="1470"/>
      <c r="B70" s="1471"/>
      <c r="C70" s="1079" t="s">
        <v>150</v>
      </c>
      <c r="D70" s="1470" t="s">
        <v>542</v>
      </c>
      <c r="E70" s="399">
        <v>0</v>
      </c>
      <c r="F70" s="400" t="s">
        <v>830</v>
      </c>
      <c r="G70" s="400">
        <v>0</v>
      </c>
      <c r="H70" s="401">
        <v>0</v>
      </c>
      <c r="I70" s="401">
        <v>0</v>
      </c>
    </row>
    <row r="71" spans="1:9" customFormat="1" ht="12.75">
      <c r="A71" s="1470"/>
      <c r="B71" s="1471"/>
      <c r="C71" s="1079" t="s">
        <v>151</v>
      </c>
      <c r="D71" s="1470" t="s">
        <v>542</v>
      </c>
      <c r="E71" s="399" t="s">
        <v>1039</v>
      </c>
      <c r="F71" s="400" t="s">
        <v>830</v>
      </c>
      <c r="G71" s="400" t="s">
        <v>67</v>
      </c>
      <c r="H71" s="401">
        <v>0</v>
      </c>
      <c r="I71" s="401" t="s">
        <v>67</v>
      </c>
    </row>
    <row r="72" spans="1:9" customFormat="1" ht="12.75">
      <c r="A72" s="1470"/>
      <c r="B72" s="1471"/>
      <c r="C72" s="1079" t="s">
        <v>152</v>
      </c>
      <c r="D72" s="1470" t="s">
        <v>542</v>
      </c>
      <c r="E72" s="399" t="s">
        <v>1039</v>
      </c>
      <c r="F72" s="400" t="s">
        <v>830</v>
      </c>
      <c r="G72" s="400" t="s">
        <v>67</v>
      </c>
      <c r="H72" s="401">
        <v>0</v>
      </c>
      <c r="I72" s="401" t="s">
        <v>67</v>
      </c>
    </row>
    <row r="73" spans="1:9" customFormat="1" ht="12.75">
      <c r="A73" s="1470"/>
      <c r="B73" s="1471"/>
      <c r="C73" s="1079"/>
      <c r="D73" s="1470"/>
      <c r="E73" s="399" t="s">
        <v>1039</v>
      </c>
      <c r="F73" s="400"/>
      <c r="G73" s="400">
        <v>0</v>
      </c>
      <c r="H73" s="401" t="s">
        <v>67</v>
      </c>
      <c r="I73" s="401" t="s">
        <v>67</v>
      </c>
    </row>
    <row r="74" spans="1:9" customFormat="1" ht="12.75">
      <c r="A74" s="1470"/>
      <c r="B74" s="1471" t="s">
        <v>153</v>
      </c>
      <c r="C74" s="1079"/>
      <c r="D74" s="1470"/>
      <c r="E74" s="399" t="s">
        <v>1039</v>
      </c>
      <c r="F74" s="400"/>
      <c r="G74" s="400">
        <v>0</v>
      </c>
      <c r="H74" s="401" t="s">
        <v>67</v>
      </c>
      <c r="I74" s="401" t="s">
        <v>67</v>
      </c>
    </row>
    <row r="75" spans="1:9" customFormat="1" ht="12.75">
      <c r="A75" s="1470"/>
      <c r="B75" s="1471"/>
      <c r="C75" s="1079" t="s">
        <v>154</v>
      </c>
      <c r="D75" s="1470" t="s">
        <v>542</v>
      </c>
      <c r="E75" s="399">
        <v>4.4507903505956872</v>
      </c>
      <c r="F75" s="400" t="s">
        <v>830</v>
      </c>
      <c r="G75" s="400">
        <v>4.4507903505956872</v>
      </c>
      <c r="H75" s="401">
        <v>16930</v>
      </c>
      <c r="I75" s="401">
        <v>75351.880635584981</v>
      </c>
    </row>
    <row r="76" spans="1:9" customFormat="1" ht="12.75">
      <c r="A76" s="1470"/>
      <c r="B76" s="1471"/>
      <c r="C76" s="1079" t="s">
        <v>155</v>
      </c>
      <c r="D76" s="1470" t="s">
        <v>542</v>
      </c>
      <c r="E76" s="399">
        <v>15.39977711977631</v>
      </c>
      <c r="F76" s="400" t="s">
        <v>830</v>
      </c>
      <c r="G76" s="400">
        <v>15.39977711977631</v>
      </c>
      <c r="H76" s="401">
        <v>16262</v>
      </c>
      <c r="I76" s="401">
        <v>250431.17552180236</v>
      </c>
    </row>
    <row r="77" spans="1:9" customFormat="1" ht="12.75">
      <c r="A77" s="1470"/>
      <c r="B77" s="1471"/>
      <c r="C77" s="1079" t="s">
        <v>156</v>
      </c>
      <c r="D77" s="1470" t="s">
        <v>542</v>
      </c>
      <c r="E77" s="399">
        <v>0</v>
      </c>
      <c r="F77" s="400" t="s">
        <v>830</v>
      </c>
      <c r="G77" s="400">
        <v>0</v>
      </c>
      <c r="H77" s="401">
        <v>0</v>
      </c>
      <c r="I77" s="401">
        <v>0</v>
      </c>
    </row>
    <row r="78" spans="1:9" customFormat="1" ht="12.75">
      <c r="A78" s="1470"/>
      <c r="B78" s="1471"/>
      <c r="C78" s="1079" t="s">
        <v>157</v>
      </c>
      <c r="D78" s="1470" t="s">
        <v>542</v>
      </c>
      <c r="E78" s="399">
        <v>0</v>
      </c>
      <c r="F78" s="400" t="s">
        <v>830</v>
      </c>
      <c r="G78" s="400">
        <v>0</v>
      </c>
      <c r="H78" s="401">
        <v>0</v>
      </c>
      <c r="I78" s="401">
        <v>0</v>
      </c>
    </row>
    <row r="79" spans="1:9" customFormat="1" ht="12.75">
      <c r="A79" s="1470"/>
      <c r="B79" s="1471"/>
      <c r="C79" s="1079"/>
      <c r="D79" s="1470"/>
      <c r="E79" s="399" t="s">
        <v>1039</v>
      </c>
      <c r="F79" s="400"/>
      <c r="G79" s="400">
        <v>0</v>
      </c>
      <c r="H79" s="401" t="s">
        <v>67</v>
      </c>
      <c r="I79" s="401" t="s">
        <v>67</v>
      </c>
    </row>
    <row r="80" spans="1:9" customFormat="1" ht="12.75">
      <c r="A80" s="1470" t="s">
        <v>158</v>
      </c>
      <c r="B80" s="1471"/>
      <c r="C80" s="1079"/>
      <c r="D80" s="1470"/>
      <c r="E80" s="399" t="s">
        <v>1039</v>
      </c>
      <c r="F80" s="400"/>
      <c r="G80" s="400">
        <v>0</v>
      </c>
      <c r="H80" s="401" t="s">
        <v>67</v>
      </c>
      <c r="I80" s="401" t="s">
        <v>67</v>
      </c>
    </row>
    <row r="81" spans="1:9" customFormat="1" ht="12.75">
      <c r="A81" s="1470"/>
      <c r="B81" s="1471" t="s">
        <v>454</v>
      </c>
      <c r="C81" s="1079"/>
      <c r="D81" s="1470"/>
      <c r="E81" s="399" t="s">
        <v>1039</v>
      </c>
      <c r="F81" s="400"/>
      <c r="G81" s="400">
        <v>0</v>
      </c>
      <c r="H81" s="401" t="s">
        <v>67</v>
      </c>
      <c r="I81" s="401" t="s">
        <v>67</v>
      </c>
    </row>
    <row r="82" spans="1:9" customFormat="1" ht="12.75">
      <c r="A82" s="1470"/>
      <c r="B82" s="1471"/>
      <c r="C82" s="1079" t="s">
        <v>159</v>
      </c>
      <c r="D82" s="1470" t="s">
        <v>541</v>
      </c>
      <c r="E82" s="399">
        <v>23.370703329731139</v>
      </c>
      <c r="F82" s="400" t="s">
        <v>830</v>
      </c>
      <c r="G82" s="400">
        <v>23.370703329731139</v>
      </c>
      <c r="H82" s="401">
        <v>1050.4000000000001</v>
      </c>
      <c r="I82" s="401">
        <v>24548.58677754959</v>
      </c>
    </row>
    <row r="83" spans="1:9" customFormat="1" ht="12.75">
      <c r="A83" s="1470"/>
      <c r="B83" s="1471"/>
      <c r="C83" s="1079" t="s">
        <v>160</v>
      </c>
      <c r="D83" s="1470" t="s">
        <v>541</v>
      </c>
      <c r="E83" s="399">
        <v>72.934213733907384</v>
      </c>
      <c r="F83" s="400" t="s">
        <v>830</v>
      </c>
      <c r="G83" s="400">
        <v>72.934213733907384</v>
      </c>
      <c r="H83" s="401">
        <v>309</v>
      </c>
      <c r="I83" s="401">
        <v>22536.67204377738</v>
      </c>
    </row>
    <row r="84" spans="1:9" customFormat="1" ht="12.75">
      <c r="A84" s="1470"/>
      <c r="B84" s="1471"/>
      <c r="C84" s="1079" t="s">
        <v>161</v>
      </c>
      <c r="D84" s="1470" t="s">
        <v>541</v>
      </c>
      <c r="E84" s="399">
        <v>0</v>
      </c>
      <c r="F84" s="400" t="s">
        <v>830</v>
      </c>
      <c r="G84" s="400">
        <v>0</v>
      </c>
      <c r="H84" s="401">
        <v>0</v>
      </c>
      <c r="I84" s="401">
        <v>0</v>
      </c>
    </row>
    <row r="85" spans="1:9" customFormat="1" ht="12.75">
      <c r="A85" s="1470"/>
      <c r="B85" s="1471"/>
      <c r="C85" s="1079" t="s">
        <v>162</v>
      </c>
      <c r="D85" s="1470" t="s">
        <v>541</v>
      </c>
      <c r="E85" s="399">
        <v>0</v>
      </c>
      <c r="F85" s="400" t="s">
        <v>830</v>
      </c>
      <c r="G85" s="400">
        <v>0</v>
      </c>
      <c r="H85" s="401">
        <v>0</v>
      </c>
      <c r="I85" s="401">
        <v>0</v>
      </c>
    </row>
    <row r="86" spans="1:9" customFormat="1" ht="12.75">
      <c r="A86" s="1470"/>
      <c r="B86" s="1471"/>
      <c r="C86" s="1079"/>
      <c r="D86" s="1470"/>
      <c r="E86" s="399" t="s">
        <v>1039</v>
      </c>
      <c r="F86" s="400"/>
      <c r="G86" s="400">
        <v>0</v>
      </c>
      <c r="H86" s="401" t="s">
        <v>67</v>
      </c>
      <c r="I86" s="401" t="s">
        <v>67</v>
      </c>
    </row>
    <row r="87" spans="1:9" customFormat="1" ht="12.75">
      <c r="A87" s="1470"/>
      <c r="B87" s="1471" t="s">
        <v>113</v>
      </c>
      <c r="C87" s="1079"/>
      <c r="D87" s="1470"/>
      <c r="E87" s="399" t="s">
        <v>1039</v>
      </c>
      <c r="F87" s="400"/>
      <c r="G87" s="400">
        <v>0</v>
      </c>
      <c r="H87" s="401" t="s">
        <v>67</v>
      </c>
      <c r="I87" s="401" t="s">
        <v>67</v>
      </c>
    </row>
    <row r="88" spans="1:9" customFormat="1" ht="12.75">
      <c r="A88" s="1470"/>
      <c r="B88" s="1471"/>
      <c r="C88" s="1079" t="s">
        <v>163</v>
      </c>
      <c r="D88" s="1470" t="s">
        <v>542</v>
      </c>
      <c r="E88" s="399">
        <v>5.9702809142872546</v>
      </c>
      <c r="F88" s="400" t="s">
        <v>830</v>
      </c>
      <c r="G88" s="400">
        <v>5.9702809142872546</v>
      </c>
      <c r="H88" s="401">
        <v>12500</v>
      </c>
      <c r="I88" s="401">
        <v>74628.511428590689</v>
      </c>
    </row>
    <row r="89" spans="1:9" customFormat="1" ht="12.75">
      <c r="A89" s="1470"/>
      <c r="B89" s="1471"/>
      <c r="C89" s="1079" t="s">
        <v>164</v>
      </c>
      <c r="D89" s="1470" t="s">
        <v>542</v>
      </c>
      <c r="E89" s="399">
        <v>38.89990126051768</v>
      </c>
      <c r="F89" s="400" t="s">
        <v>830</v>
      </c>
      <c r="G89" s="400">
        <v>38.89990126051768</v>
      </c>
      <c r="H89" s="401">
        <v>711</v>
      </c>
      <c r="I89" s="401">
        <v>27657.82979622807</v>
      </c>
    </row>
    <row r="90" spans="1:9" customFormat="1" ht="12.75">
      <c r="A90" s="1470"/>
      <c r="B90" s="1471"/>
      <c r="C90" s="1079" t="s">
        <v>165</v>
      </c>
      <c r="D90" s="1470" t="s">
        <v>542</v>
      </c>
      <c r="E90" s="399">
        <v>0</v>
      </c>
      <c r="F90" s="400" t="s">
        <v>830</v>
      </c>
      <c r="G90" s="400">
        <v>0</v>
      </c>
      <c r="H90" s="401">
        <v>0</v>
      </c>
      <c r="I90" s="401">
        <v>0</v>
      </c>
    </row>
    <row r="91" spans="1:9" customFormat="1" ht="12.75">
      <c r="A91" s="1470"/>
      <c r="B91" s="1471"/>
      <c r="C91" s="1079" t="s">
        <v>166</v>
      </c>
      <c r="D91" s="1470" t="s">
        <v>542</v>
      </c>
      <c r="E91" s="399">
        <v>0</v>
      </c>
      <c r="F91" s="400" t="s">
        <v>830</v>
      </c>
      <c r="G91" s="400">
        <v>0</v>
      </c>
      <c r="H91" s="401">
        <v>0</v>
      </c>
      <c r="I91" s="401">
        <v>0</v>
      </c>
    </row>
    <row r="92" spans="1:9" customFormat="1" ht="12.75">
      <c r="A92" s="1470"/>
      <c r="B92" s="1471"/>
      <c r="C92" s="1079"/>
      <c r="D92" s="1470"/>
      <c r="E92" s="399" t="s">
        <v>1039</v>
      </c>
      <c r="F92" s="400"/>
      <c r="G92" s="400">
        <v>0</v>
      </c>
      <c r="H92" s="401" t="s">
        <v>67</v>
      </c>
      <c r="I92" s="401" t="s">
        <v>67</v>
      </c>
    </row>
    <row r="93" spans="1:9" customFormat="1" ht="12.75">
      <c r="A93" s="1470"/>
      <c r="B93" s="1471" t="s">
        <v>134</v>
      </c>
      <c r="C93" s="1079"/>
      <c r="D93" s="1470"/>
      <c r="E93" s="399" t="s">
        <v>1039</v>
      </c>
      <c r="F93" s="400"/>
      <c r="G93" s="400">
        <v>0</v>
      </c>
      <c r="H93" s="401" t="s">
        <v>67</v>
      </c>
      <c r="I93" s="401" t="s">
        <v>67</v>
      </c>
    </row>
    <row r="94" spans="1:9" customFormat="1" ht="12.75">
      <c r="A94" s="1470"/>
      <c r="B94" s="1471"/>
      <c r="C94" s="1079" t="s">
        <v>167</v>
      </c>
      <c r="D94" s="1470" t="s">
        <v>541</v>
      </c>
      <c r="E94" s="399">
        <v>317.53030926606021</v>
      </c>
      <c r="F94" s="400" t="s">
        <v>830</v>
      </c>
      <c r="G94" s="400">
        <v>317.53030926606021</v>
      </c>
      <c r="H94" s="401">
        <v>1616.383</v>
      </c>
      <c r="I94" s="401">
        <v>513250.59388240223</v>
      </c>
    </row>
    <row r="95" spans="1:9" customFormat="1" ht="12.75">
      <c r="A95" s="1470"/>
      <c r="B95" s="1471"/>
      <c r="C95" s="1079" t="s">
        <v>168</v>
      </c>
      <c r="D95" s="1470" t="s">
        <v>541</v>
      </c>
      <c r="E95" s="399">
        <v>317.53030926606021</v>
      </c>
      <c r="F95" s="400" t="s">
        <v>830</v>
      </c>
      <c r="G95" s="400">
        <v>317.53030926606021</v>
      </c>
      <c r="H95" s="401">
        <v>364.13400000000001</v>
      </c>
      <c r="I95" s="401">
        <v>115623.58163428758</v>
      </c>
    </row>
    <row r="96" spans="1:9" customFormat="1" ht="12.75">
      <c r="A96" s="1470"/>
      <c r="B96" s="1471"/>
      <c r="C96" s="1079" t="s">
        <v>169</v>
      </c>
      <c r="D96" s="1470" t="s">
        <v>541</v>
      </c>
      <c r="E96" s="399">
        <v>317.53030926606021</v>
      </c>
      <c r="F96" s="400" t="s">
        <v>830</v>
      </c>
      <c r="G96" s="400">
        <v>317.53030926606021</v>
      </c>
      <c r="H96" s="401">
        <v>261</v>
      </c>
      <c r="I96" s="401">
        <v>82875.410718441723</v>
      </c>
    </row>
    <row r="97" spans="1:9" customFormat="1" ht="12.75">
      <c r="A97" s="1470"/>
      <c r="B97" s="1471"/>
      <c r="C97" s="1079" t="s">
        <v>170</v>
      </c>
      <c r="D97" s="1470" t="s">
        <v>541</v>
      </c>
      <c r="E97" s="399">
        <v>0</v>
      </c>
      <c r="F97" s="400" t="s">
        <v>830</v>
      </c>
      <c r="G97" s="400">
        <v>0</v>
      </c>
      <c r="H97" s="401">
        <v>0</v>
      </c>
      <c r="I97" s="401">
        <v>0</v>
      </c>
    </row>
    <row r="98" spans="1:9" customFormat="1" ht="12.75">
      <c r="A98" s="1470"/>
      <c r="B98" s="1471"/>
      <c r="C98" s="1079" t="s">
        <v>171</v>
      </c>
      <c r="D98" s="1470" t="s">
        <v>541</v>
      </c>
      <c r="E98" s="399">
        <v>0</v>
      </c>
      <c r="F98" s="400" t="s">
        <v>830</v>
      </c>
      <c r="G98" s="400">
        <v>0</v>
      </c>
      <c r="H98" s="401">
        <v>0</v>
      </c>
      <c r="I98" s="401">
        <v>0</v>
      </c>
    </row>
    <row r="99" spans="1:9" customFormat="1" ht="12.75">
      <c r="A99" s="1470"/>
      <c r="B99" s="1471"/>
      <c r="C99" s="1079" t="s">
        <v>172</v>
      </c>
      <c r="D99" s="1470" t="s">
        <v>541</v>
      </c>
      <c r="E99" s="399">
        <v>0</v>
      </c>
      <c r="F99" s="400" t="s">
        <v>830</v>
      </c>
      <c r="G99" s="400">
        <v>0</v>
      </c>
      <c r="H99" s="401">
        <v>0</v>
      </c>
      <c r="I99" s="401">
        <v>0</v>
      </c>
    </row>
    <row r="100" spans="1:9" customFormat="1" ht="12.75">
      <c r="A100" s="1470"/>
      <c r="B100" s="1471"/>
      <c r="C100" s="1079"/>
      <c r="D100" s="1470"/>
      <c r="E100" s="399" t="s">
        <v>1039</v>
      </c>
      <c r="F100" s="400"/>
      <c r="G100" s="400">
        <v>0</v>
      </c>
      <c r="H100" s="401" t="s">
        <v>67</v>
      </c>
      <c r="I100" s="401" t="s">
        <v>67</v>
      </c>
    </row>
    <row r="101" spans="1:9" customFormat="1" ht="12.75">
      <c r="A101" s="1470"/>
      <c r="B101" s="1471" t="s">
        <v>137</v>
      </c>
      <c r="C101" s="1079"/>
      <c r="D101" s="1470"/>
      <c r="E101" s="399" t="s">
        <v>1039</v>
      </c>
      <c r="F101" s="400"/>
      <c r="G101" s="400">
        <v>0</v>
      </c>
      <c r="H101" s="401" t="s">
        <v>67</v>
      </c>
      <c r="I101" s="401" t="s">
        <v>67</v>
      </c>
    </row>
    <row r="102" spans="1:9" customFormat="1" ht="12.75">
      <c r="A102" s="1470"/>
      <c r="B102" s="1471"/>
      <c r="C102" s="1079" t="s">
        <v>173</v>
      </c>
      <c r="D102" s="1470" t="s">
        <v>541</v>
      </c>
      <c r="E102" s="399">
        <v>0</v>
      </c>
      <c r="F102" s="400" t="s">
        <v>830</v>
      </c>
      <c r="G102" s="400">
        <v>0</v>
      </c>
      <c r="H102" s="401">
        <v>0</v>
      </c>
      <c r="I102" s="401">
        <v>0</v>
      </c>
    </row>
    <row r="103" spans="1:9" customFormat="1" ht="12.75">
      <c r="A103" s="1470"/>
      <c r="B103" s="1471"/>
      <c r="C103" s="1079"/>
      <c r="D103" s="1470"/>
      <c r="E103" s="399" t="s">
        <v>1039</v>
      </c>
      <c r="F103" s="400"/>
      <c r="G103" s="400">
        <v>0</v>
      </c>
      <c r="H103" s="401" t="s">
        <v>67</v>
      </c>
      <c r="I103" s="401" t="s">
        <v>67</v>
      </c>
    </row>
    <row r="104" spans="1:9" customFormat="1" ht="12.75">
      <c r="A104" s="1470"/>
      <c r="B104" s="1471" t="s">
        <v>120</v>
      </c>
      <c r="C104" s="1079"/>
      <c r="D104" s="1470"/>
      <c r="E104" s="399" t="s">
        <v>1039</v>
      </c>
      <c r="F104" s="400"/>
      <c r="G104" s="400">
        <v>0</v>
      </c>
      <c r="H104" s="401" t="s">
        <v>67</v>
      </c>
      <c r="I104" s="401" t="s">
        <v>67</v>
      </c>
    </row>
    <row r="105" spans="1:9" customFormat="1" ht="12.75">
      <c r="A105" s="1470"/>
      <c r="B105" s="1471"/>
      <c r="C105" s="1079" t="s">
        <v>174</v>
      </c>
      <c r="D105" s="1470" t="s">
        <v>542</v>
      </c>
      <c r="E105" s="399">
        <v>110.75115463922994</v>
      </c>
      <c r="F105" s="400" t="s">
        <v>830</v>
      </c>
      <c r="G105" s="400">
        <v>110.75115463922994</v>
      </c>
      <c r="H105" s="401">
        <v>1441</v>
      </c>
      <c r="I105" s="401">
        <v>159592.41383513034</v>
      </c>
    </row>
    <row r="106" spans="1:9" customFormat="1" ht="12.75">
      <c r="A106" s="1470"/>
      <c r="B106" s="1471"/>
      <c r="C106" s="1079" t="s">
        <v>175</v>
      </c>
      <c r="D106" s="1470" t="s">
        <v>542</v>
      </c>
      <c r="E106" s="399">
        <v>110.75115463922994</v>
      </c>
      <c r="F106" s="400" t="s">
        <v>830</v>
      </c>
      <c r="G106" s="400">
        <v>110.75115463922994</v>
      </c>
      <c r="H106" s="401">
        <v>158</v>
      </c>
      <c r="I106" s="401">
        <v>17498.682432998332</v>
      </c>
    </row>
    <row r="107" spans="1:9" customFormat="1" ht="12.75">
      <c r="A107" s="1470"/>
      <c r="B107" s="1471"/>
      <c r="C107" s="1079" t="s">
        <v>176</v>
      </c>
      <c r="D107" s="1470" t="s">
        <v>542</v>
      </c>
      <c r="E107" s="399">
        <v>110.75115463922994</v>
      </c>
      <c r="F107" s="400" t="s">
        <v>830</v>
      </c>
      <c r="G107" s="400">
        <v>110.75115463922994</v>
      </c>
      <c r="H107" s="401">
        <v>63</v>
      </c>
      <c r="I107" s="401">
        <v>6977.3227422714863</v>
      </c>
    </row>
    <row r="108" spans="1:9" customFormat="1" ht="12.75">
      <c r="A108" s="1470"/>
      <c r="B108" s="1471"/>
      <c r="C108" s="1079" t="s">
        <v>177</v>
      </c>
      <c r="D108" s="1470" t="s">
        <v>542</v>
      </c>
      <c r="E108" s="399">
        <v>36.917051546409979</v>
      </c>
      <c r="F108" s="400" t="s">
        <v>830</v>
      </c>
      <c r="G108" s="400">
        <v>36.917051546409979</v>
      </c>
      <c r="H108" s="401">
        <v>106</v>
      </c>
      <c r="I108" s="401">
        <v>3913.207463919458</v>
      </c>
    </row>
    <row r="109" spans="1:9" customFormat="1" ht="12.75">
      <c r="A109" s="1470"/>
      <c r="B109" s="1471"/>
      <c r="C109" s="1079" t="s">
        <v>178</v>
      </c>
      <c r="D109" s="1470" t="s">
        <v>542</v>
      </c>
      <c r="E109" s="399">
        <v>110.75115463922994</v>
      </c>
      <c r="F109" s="400" t="s">
        <v>830</v>
      </c>
      <c r="G109" s="400">
        <v>110.75115463922994</v>
      </c>
      <c r="H109" s="401">
        <v>6</v>
      </c>
      <c r="I109" s="401">
        <v>664.50692783537966</v>
      </c>
    </row>
    <row r="110" spans="1:9" customFormat="1" ht="12.75">
      <c r="A110" s="1470"/>
      <c r="B110" s="1471"/>
      <c r="C110" s="1079" t="s">
        <v>179</v>
      </c>
      <c r="D110" s="1470" t="s">
        <v>542</v>
      </c>
      <c r="E110" s="399">
        <v>110.75115463922994</v>
      </c>
      <c r="F110" s="400" t="s">
        <v>830</v>
      </c>
      <c r="G110" s="400">
        <v>110.75115463922994</v>
      </c>
      <c r="H110" s="401">
        <v>75</v>
      </c>
      <c r="I110" s="401">
        <v>8306.3365979422451</v>
      </c>
    </row>
    <row r="111" spans="1:9" customFormat="1" ht="12.75">
      <c r="A111" s="1470"/>
      <c r="B111" s="1471"/>
      <c r="C111" s="1079" t="s">
        <v>180</v>
      </c>
      <c r="D111" s="1470" t="s">
        <v>542</v>
      </c>
      <c r="E111" s="399">
        <v>0</v>
      </c>
      <c r="F111" s="400" t="s">
        <v>830</v>
      </c>
      <c r="G111" s="400">
        <v>0</v>
      </c>
      <c r="H111" s="401">
        <v>0</v>
      </c>
      <c r="I111" s="401">
        <v>0</v>
      </c>
    </row>
    <row r="112" spans="1:9" customFormat="1" ht="12.75">
      <c r="A112" s="1470"/>
      <c r="B112" s="1471"/>
      <c r="C112" s="1079" t="s">
        <v>181</v>
      </c>
      <c r="D112" s="1470" t="s">
        <v>542</v>
      </c>
      <c r="E112" s="399" t="s">
        <v>1039</v>
      </c>
      <c r="F112" s="400" t="s">
        <v>830</v>
      </c>
      <c r="G112" s="400" t="s">
        <v>67</v>
      </c>
      <c r="H112" s="401">
        <v>0</v>
      </c>
      <c r="I112" s="401" t="s">
        <v>67</v>
      </c>
    </row>
    <row r="113" spans="1:9" customFormat="1" ht="12.75">
      <c r="A113" s="1470"/>
      <c r="B113" s="1471"/>
      <c r="C113" s="1079"/>
      <c r="D113" s="1470"/>
      <c r="E113" s="399" t="s">
        <v>1039</v>
      </c>
      <c r="F113" s="400"/>
      <c r="G113" s="400">
        <v>0</v>
      </c>
      <c r="H113" s="401" t="s">
        <v>67</v>
      </c>
      <c r="I113" s="401" t="s">
        <v>67</v>
      </c>
    </row>
    <row r="114" spans="1:9" customFormat="1" ht="12.75">
      <c r="A114" s="1470"/>
      <c r="B114" s="1471" t="s">
        <v>153</v>
      </c>
      <c r="C114" s="1079"/>
      <c r="D114" s="1470"/>
      <c r="E114" s="399" t="s">
        <v>1039</v>
      </c>
      <c r="F114" s="400"/>
      <c r="G114" s="400">
        <v>0</v>
      </c>
      <c r="H114" s="401" t="s">
        <v>67</v>
      </c>
      <c r="I114" s="401" t="s">
        <v>67</v>
      </c>
    </row>
    <row r="115" spans="1:9" customFormat="1" ht="12.75">
      <c r="A115" s="1470"/>
      <c r="B115" s="1471"/>
      <c r="C115" s="1079" t="s">
        <v>182</v>
      </c>
      <c r="D115" s="1470" t="s">
        <v>542</v>
      </c>
      <c r="E115" s="399">
        <v>0</v>
      </c>
      <c r="F115" s="400" t="s">
        <v>830</v>
      </c>
      <c r="G115" s="400">
        <v>0</v>
      </c>
      <c r="H115" s="401">
        <v>0</v>
      </c>
      <c r="I115" s="401">
        <v>0</v>
      </c>
    </row>
    <row r="116" spans="1:9" customFormat="1" ht="12.75">
      <c r="A116" s="1470"/>
      <c r="B116" s="1471"/>
      <c r="C116" s="1079" t="s">
        <v>183</v>
      </c>
      <c r="D116" s="1470" t="s">
        <v>542</v>
      </c>
      <c r="E116" s="399">
        <v>609.77107499013653</v>
      </c>
      <c r="F116" s="400" t="s">
        <v>830</v>
      </c>
      <c r="G116" s="400">
        <v>609.77107499013653</v>
      </c>
      <c r="H116" s="401">
        <v>696</v>
      </c>
      <c r="I116" s="401">
        <v>424400.668193135</v>
      </c>
    </row>
    <row r="117" spans="1:9" customFormat="1" ht="12.75">
      <c r="A117" s="1470"/>
      <c r="B117" s="1471"/>
      <c r="C117" s="1079" t="s">
        <v>184</v>
      </c>
      <c r="D117" s="1470" t="s">
        <v>542</v>
      </c>
      <c r="E117" s="399" t="s">
        <v>1039</v>
      </c>
      <c r="F117" s="400" t="s">
        <v>830</v>
      </c>
      <c r="G117" s="400" t="s">
        <v>830</v>
      </c>
      <c r="H117" s="401">
        <v>637</v>
      </c>
      <c r="I117" s="401" t="s">
        <v>67</v>
      </c>
    </row>
    <row r="118" spans="1:9" customFormat="1" ht="12.75">
      <c r="A118" s="1470"/>
      <c r="B118" s="1471"/>
      <c r="C118" s="1079" t="s">
        <v>185</v>
      </c>
      <c r="D118" s="1470" t="s">
        <v>542</v>
      </c>
      <c r="E118" s="399">
        <v>0</v>
      </c>
      <c r="F118" s="400" t="s">
        <v>830</v>
      </c>
      <c r="G118" s="400">
        <v>0</v>
      </c>
      <c r="H118" s="401">
        <v>0</v>
      </c>
      <c r="I118" s="401">
        <v>0</v>
      </c>
    </row>
    <row r="119" spans="1:9" customFormat="1" ht="12.75">
      <c r="A119" s="1470"/>
      <c r="B119" s="1471"/>
      <c r="C119" s="1079" t="s">
        <v>186</v>
      </c>
      <c r="D119" s="1470" t="s">
        <v>542</v>
      </c>
      <c r="E119" s="399" t="s">
        <v>1039</v>
      </c>
      <c r="F119" s="400" t="s">
        <v>830</v>
      </c>
      <c r="G119" s="400" t="s">
        <v>67</v>
      </c>
      <c r="H119" s="401">
        <v>0</v>
      </c>
      <c r="I119" s="401" t="s">
        <v>67</v>
      </c>
    </row>
    <row r="120" spans="1:9" customFormat="1" ht="12.75">
      <c r="A120" s="1470"/>
      <c r="B120" s="1471"/>
      <c r="C120" s="1079"/>
      <c r="D120" s="1470"/>
      <c r="E120" s="399" t="s">
        <v>1039</v>
      </c>
      <c r="F120" s="400"/>
      <c r="G120" s="400">
        <v>0</v>
      </c>
      <c r="H120" s="401" t="s">
        <v>67</v>
      </c>
      <c r="I120" s="401" t="s">
        <v>67</v>
      </c>
    </row>
    <row r="121" spans="1:9" customFormat="1" ht="12.75">
      <c r="A121" s="1470" t="s">
        <v>187</v>
      </c>
      <c r="B121" s="1471"/>
      <c r="C121" s="1079"/>
      <c r="D121" s="1470"/>
      <c r="E121" s="399" t="s">
        <v>1039</v>
      </c>
      <c r="F121" s="400"/>
      <c r="G121" s="400">
        <v>0</v>
      </c>
      <c r="H121" s="401" t="s">
        <v>67</v>
      </c>
      <c r="I121" s="401" t="s">
        <v>67</v>
      </c>
    </row>
    <row r="122" spans="1:9" customFormat="1" ht="12.75">
      <c r="A122" s="1470"/>
      <c r="B122" s="1471" t="s">
        <v>454</v>
      </c>
      <c r="C122" s="1079"/>
      <c r="D122" s="1470"/>
      <c r="E122" s="399" t="s">
        <v>1039</v>
      </c>
      <c r="F122" s="400"/>
      <c r="G122" s="400">
        <v>0</v>
      </c>
      <c r="H122" s="401" t="s">
        <v>67</v>
      </c>
      <c r="I122" s="401" t="s">
        <v>67</v>
      </c>
    </row>
    <row r="123" spans="1:9" customFormat="1" ht="12.75">
      <c r="A123" s="1470"/>
      <c r="B123" s="1471"/>
      <c r="C123" s="1079" t="s">
        <v>188</v>
      </c>
      <c r="D123" s="1470" t="s">
        <v>541</v>
      </c>
      <c r="E123" s="399">
        <v>38.141052519316517</v>
      </c>
      <c r="F123" s="400" t="s">
        <v>830</v>
      </c>
      <c r="G123" s="400">
        <v>38.141052519316517</v>
      </c>
      <c r="H123" s="401">
        <v>32</v>
      </c>
      <c r="I123" s="401">
        <v>1220.5136806181285</v>
      </c>
    </row>
    <row r="124" spans="1:9" customFormat="1" ht="12.75">
      <c r="A124" s="1470"/>
      <c r="B124" s="1471"/>
      <c r="C124" s="1079" t="s">
        <v>189</v>
      </c>
      <c r="D124" s="1470" t="s">
        <v>541</v>
      </c>
      <c r="E124" s="399">
        <v>114.42315755794955</v>
      </c>
      <c r="F124" s="400" t="s">
        <v>830</v>
      </c>
      <c r="G124" s="400">
        <v>114.42315755794955</v>
      </c>
      <c r="H124" s="401">
        <v>1546.8</v>
      </c>
      <c r="I124" s="401">
        <v>176989.74011063637</v>
      </c>
    </row>
    <row r="125" spans="1:9" customFormat="1" ht="12.75">
      <c r="A125" s="1470"/>
      <c r="B125" s="1471"/>
      <c r="C125" s="1079"/>
      <c r="D125" s="1470"/>
      <c r="E125" s="399" t="s">
        <v>1039</v>
      </c>
      <c r="F125" s="400"/>
      <c r="G125" s="400">
        <v>0</v>
      </c>
      <c r="H125" s="401" t="s">
        <v>67</v>
      </c>
      <c r="I125" s="401" t="s">
        <v>67</v>
      </c>
    </row>
    <row r="126" spans="1:9" customFormat="1" ht="12.75">
      <c r="A126" s="1470"/>
      <c r="B126" s="1471" t="s">
        <v>113</v>
      </c>
      <c r="C126" s="1079"/>
      <c r="D126" s="1470"/>
      <c r="E126" s="399" t="s">
        <v>1039</v>
      </c>
      <c r="F126" s="400"/>
      <c r="G126" s="400">
        <v>0</v>
      </c>
      <c r="H126" s="401" t="s">
        <v>67</v>
      </c>
      <c r="I126" s="401" t="s">
        <v>67</v>
      </c>
    </row>
    <row r="127" spans="1:9" customFormat="1" ht="12.75">
      <c r="A127" s="1470"/>
      <c r="B127" s="1471"/>
      <c r="C127" s="1079" t="s">
        <v>190</v>
      </c>
      <c r="D127" s="1470" t="s">
        <v>542</v>
      </c>
      <c r="E127" s="399">
        <v>17.444739883096485</v>
      </c>
      <c r="F127" s="400" t="s">
        <v>830</v>
      </c>
      <c r="G127" s="400">
        <v>17.444739883096485</v>
      </c>
      <c r="H127" s="401">
        <v>52</v>
      </c>
      <c r="I127" s="401">
        <v>907.12647392101724</v>
      </c>
    </row>
    <row r="128" spans="1:9" customFormat="1" ht="12.75">
      <c r="A128" s="1470"/>
      <c r="B128" s="1471"/>
      <c r="C128" s="1079" t="s">
        <v>191</v>
      </c>
      <c r="D128" s="1470" t="s">
        <v>542</v>
      </c>
      <c r="E128" s="399">
        <v>52.334219649289459</v>
      </c>
      <c r="F128" s="400" t="s">
        <v>830</v>
      </c>
      <c r="G128" s="400">
        <v>52.334219649289459</v>
      </c>
      <c r="H128" s="401">
        <v>3125</v>
      </c>
      <c r="I128" s="401">
        <v>163544.43640402955</v>
      </c>
    </row>
    <row r="129" spans="1:9" customFormat="1" ht="12.75">
      <c r="A129" s="1470"/>
      <c r="B129" s="1471"/>
      <c r="C129" s="1079" t="s">
        <v>192</v>
      </c>
      <c r="D129" s="1470" t="s">
        <v>542</v>
      </c>
      <c r="E129" s="399">
        <v>7.062403343675741</v>
      </c>
      <c r="F129" s="400" t="s">
        <v>830</v>
      </c>
      <c r="G129" s="400">
        <v>7.062403343675741</v>
      </c>
      <c r="H129" s="401">
        <v>6226</v>
      </c>
      <c r="I129" s="401">
        <v>43970.52321772516</v>
      </c>
    </row>
    <row r="130" spans="1:9" customFormat="1" ht="12.75">
      <c r="A130" s="1470"/>
      <c r="B130" s="1471"/>
      <c r="C130" s="1079"/>
      <c r="D130" s="1470"/>
      <c r="E130" s="399" t="s">
        <v>1039</v>
      </c>
      <c r="F130" s="400"/>
      <c r="G130" s="400">
        <v>0</v>
      </c>
      <c r="H130" s="401" t="s">
        <v>67</v>
      </c>
      <c r="I130" s="401" t="s">
        <v>67</v>
      </c>
    </row>
    <row r="131" spans="1:9" customFormat="1" ht="12.75">
      <c r="A131" s="1470"/>
      <c r="B131" s="1471" t="s">
        <v>134</v>
      </c>
      <c r="C131" s="1079"/>
      <c r="D131" s="1470"/>
      <c r="E131" s="399" t="s">
        <v>1039</v>
      </c>
      <c r="F131" s="400"/>
      <c r="G131" s="400">
        <v>0</v>
      </c>
      <c r="H131" s="401" t="s">
        <v>67</v>
      </c>
      <c r="I131" s="401" t="s">
        <v>67</v>
      </c>
    </row>
    <row r="132" spans="1:9" customFormat="1" ht="12.75">
      <c r="A132" s="1470"/>
      <c r="B132" s="1471"/>
      <c r="C132" s="1079" t="s">
        <v>193</v>
      </c>
      <c r="D132" s="1470" t="s">
        <v>541</v>
      </c>
      <c r="E132" s="399">
        <v>1004.1033964654554</v>
      </c>
      <c r="F132" s="400" t="s">
        <v>830</v>
      </c>
      <c r="G132" s="400">
        <v>1004.1033964654554</v>
      </c>
      <c r="H132" s="401">
        <v>212.88</v>
      </c>
      <c r="I132" s="401">
        <v>213753.53103956612</v>
      </c>
    </row>
    <row r="133" spans="1:9" customFormat="1" ht="12.75">
      <c r="A133" s="1470"/>
      <c r="B133" s="1471"/>
      <c r="C133" s="1079" t="s">
        <v>194</v>
      </c>
      <c r="D133" s="1470" t="s">
        <v>541</v>
      </c>
      <c r="E133" s="399">
        <v>1004.1033964654554</v>
      </c>
      <c r="F133" s="400" t="s">
        <v>830</v>
      </c>
      <c r="G133" s="400">
        <v>1004.1033964654554</v>
      </c>
      <c r="H133" s="401">
        <v>166.32</v>
      </c>
      <c r="I133" s="401">
        <v>167002.47690013453</v>
      </c>
    </row>
    <row r="134" spans="1:9" customFormat="1" ht="12.75">
      <c r="A134" s="1470"/>
      <c r="B134" s="1471"/>
      <c r="C134" s="1079" t="s">
        <v>195</v>
      </c>
      <c r="D134" s="1470" t="s">
        <v>541</v>
      </c>
      <c r="E134" s="399">
        <v>1004.1033964654554</v>
      </c>
      <c r="F134" s="400" t="s">
        <v>830</v>
      </c>
      <c r="G134" s="400">
        <v>1004.1033964654554</v>
      </c>
      <c r="H134" s="401">
        <v>5</v>
      </c>
      <c r="I134" s="401">
        <v>5020.5169823272772</v>
      </c>
    </row>
    <row r="135" spans="1:9" customFormat="1" ht="12.75">
      <c r="A135" s="1470"/>
      <c r="B135" s="1471"/>
      <c r="C135" s="1079"/>
      <c r="D135" s="1470"/>
      <c r="E135" s="399" t="s">
        <v>1039</v>
      </c>
      <c r="F135" s="400"/>
      <c r="G135" s="400">
        <v>0</v>
      </c>
      <c r="H135" s="401" t="s">
        <v>67</v>
      </c>
      <c r="I135" s="401" t="s">
        <v>67</v>
      </c>
    </row>
    <row r="136" spans="1:9" customFormat="1" ht="12.75">
      <c r="A136" s="1470"/>
      <c r="B136" s="1471" t="s">
        <v>137</v>
      </c>
      <c r="C136" s="1079"/>
      <c r="D136" s="1470"/>
      <c r="E136" s="399" t="s">
        <v>1039</v>
      </c>
      <c r="F136" s="400"/>
      <c r="G136" s="400">
        <v>0</v>
      </c>
      <c r="H136" s="401" t="s">
        <v>67</v>
      </c>
      <c r="I136" s="401" t="s">
        <v>67</v>
      </c>
    </row>
    <row r="137" spans="1:9" customFormat="1" ht="12.75">
      <c r="A137" s="1470"/>
      <c r="B137" s="1471"/>
      <c r="C137" s="1079" t="s">
        <v>196</v>
      </c>
      <c r="D137" s="1470" t="s">
        <v>541</v>
      </c>
      <c r="E137" s="399">
        <v>0</v>
      </c>
      <c r="F137" s="400" t="s">
        <v>830</v>
      </c>
      <c r="G137" s="400">
        <v>0</v>
      </c>
      <c r="H137" s="401">
        <v>0</v>
      </c>
      <c r="I137" s="401">
        <v>0</v>
      </c>
    </row>
    <row r="138" spans="1:9" customFormat="1" ht="12.75">
      <c r="A138" s="1470"/>
      <c r="B138" s="1471"/>
      <c r="C138" s="1079"/>
      <c r="D138" s="1470"/>
      <c r="E138" s="399" t="s">
        <v>1039</v>
      </c>
      <c r="F138" s="400"/>
      <c r="G138" s="400">
        <v>0</v>
      </c>
      <c r="H138" s="401" t="s">
        <v>67</v>
      </c>
      <c r="I138" s="401" t="s">
        <v>67</v>
      </c>
    </row>
    <row r="139" spans="1:9" customFormat="1" ht="12.75">
      <c r="A139" s="1470"/>
      <c r="B139" s="1471" t="s">
        <v>120</v>
      </c>
      <c r="C139" s="1079"/>
      <c r="D139" s="1470"/>
      <c r="E139" s="399" t="s">
        <v>1039</v>
      </c>
      <c r="F139" s="400"/>
      <c r="G139" s="400">
        <v>0</v>
      </c>
      <c r="H139" s="401" t="s">
        <v>67</v>
      </c>
      <c r="I139" s="401" t="s">
        <v>67</v>
      </c>
    </row>
    <row r="140" spans="1:9" customFormat="1" ht="12.75">
      <c r="A140" s="1470"/>
      <c r="B140" s="1471"/>
      <c r="C140" s="1079" t="s">
        <v>197</v>
      </c>
      <c r="D140" s="1470" t="s">
        <v>542</v>
      </c>
      <c r="E140" s="399">
        <v>1138.4430824146075</v>
      </c>
      <c r="F140" s="400" t="s">
        <v>830</v>
      </c>
      <c r="G140" s="400">
        <v>1138.4430824146075</v>
      </c>
      <c r="H140" s="401">
        <v>175</v>
      </c>
      <c r="I140" s="401">
        <v>199227.53942255632</v>
      </c>
    </row>
    <row r="141" spans="1:9" customFormat="1" ht="12.75">
      <c r="A141" s="1470"/>
      <c r="B141" s="1471"/>
      <c r="C141" s="1079" t="s">
        <v>198</v>
      </c>
      <c r="D141" s="1470" t="s">
        <v>542</v>
      </c>
      <c r="E141" s="399">
        <v>1138.4430824146075</v>
      </c>
      <c r="F141" s="400" t="s">
        <v>830</v>
      </c>
      <c r="G141" s="400">
        <v>1138.4430824146075</v>
      </c>
      <c r="H141" s="401">
        <v>1010</v>
      </c>
      <c r="I141" s="401">
        <v>1149827.5132387537</v>
      </c>
    </row>
    <row r="142" spans="1:9" customFormat="1" ht="12.75">
      <c r="A142" s="1470"/>
      <c r="B142" s="1471"/>
      <c r="C142" s="1079"/>
      <c r="D142" s="1470"/>
      <c r="E142" s="399" t="s">
        <v>1039</v>
      </c>
      <c r="F142" s="400"/>
      <c r="G142" s="400">
        <v>0</v>
      </c>
      <c r="H142" s="401" t="s">
        <v>67</v>
      </c>
      <c r="I142" s="401" t="s">
        <v>67</v>
      </c>
    </row>
    <row r="143" spans="1:9" customFormat="1" ht="12.75">
      <c r="A143" s="1470"/>
      <c r="B143" s="1471" t="s">
        <v>153</v>
      </c>
      <c r="C143" s="1079"/>
      <c r="D143" s="1470"/>
      <c r="E143" s="399" t="s">
        <v>1039</v>
      </c>
      <c r="F143" s="400"/>
      <c r="G143" s="400">
        <v>0</v>
      </c>
      <c r="H143" s="401" t="s">
        <v>67</v>
      </c>
      <c r="I143" s="401" t="s">
        <v>67</v>
      </c>
    </row>
    <row r="144" spans="1:9" customFormat="1" ht="12.75">
      <c r="A144" s="1470"/>
      <c r="B144" s="1471"/>
      <c r="C144" s="1079" t="s">
        <v>199</v>
      </c>
      <c r="D144" s="1470" t="s">
        <v>542</v>
      </c>
      <c r="E144" s="399">
        <v>1298.7549844386983</v>
      </c>
      <c r="F144" s="400" t="s">
        <v>830</v>
      </c>
      <c r="G144" s="400">
        <v>1298.7549844386983</v>
      </c>
      <c r="H144" s="401">
        <v>153</v>
      </c>
      <c r="I144" s="401">
        <v>198709.51261912085</v>
      </c>
    </row>
    <row r="145" spans="1:9" customFormat="1" ht="12.75">
      <c r="A145" s="1470"/>
      <c r="B145" s="1471"/>
      <c r="C145" s="1079" t="s">
        <v>200</v>
      </c>
      <c r="D145" s="1470" t="s">
        <v>542</v>
      </c>
      <c r="E145" s="399" t="s">
        <v>1039</v>
      </c>
      <c r="F145" s="400" t="s">
        <v>830</v>
      </c>
      <c r="G145" s="400" t="s">
        <v>830</v>
      </c>
      <c r="H145" s="401">
        <v>142</v>
      </c>
      <c r="I145" s="401" t="s">
        <v>67</v>
      </c>
    </row>
    <row r="146" spans="1:9" customFormat="1" ht="12.75">
      <c r="A146" s="1470"/>
      <c r="B146" s="1471"/>
      <c r="C146" s="1079"/>
      <c r="D146" s="1470"/>
      <c r="E146" s="399" t="s">
        <v>1039</v>
      </c>
      <c r="F146" s="400"/>
      <c r="G146" s="400">
        <v>0</v>
      </c>
      <c r="H146" s="401" t="s">
        <v>67</v>
      </c>
      <c r="I146" s="401" t="s">
        <v>67</v>
      </c>
    </row>
    <row r="147" spans="1:9" customFormat="1" ht="12.75">
      <c r="A147" s="1470" t="s">
        <v>201</v>
      </c>
      <c r="B147" s="1471"/>
      <c r="C147" s="1079"/>
      <c r="D147" s="1470"/>
      <c r="E147" s="399" t="s">
        <v>1039</v>
      </c>
      <c r="F147" s="400"/>
      <c r="G147" s="400">
        <v>0</v>
      </c>
      <c r="H147" s="401" t="s">
        <v>67</v>
      </c>
      <c r="I147" s="401" t="s">
        <v>67</v>
      </c>
    </row>
    <row r="148" spans="1:9" customFormat="1" ht="12.75">
      <c r="A148" s="1470"/>
      <c r="B148" s="1471" t="s">
        <v>202</v>
      </c>
      <c r="C148" s="1079"/>
      <c r="D148" s="1470"/>
      <c r="E148" s="399" t="s">
        <v>1039</v>
      </c>
      <c r="F148" s="400"/>
      <c r="G148" s="400">
        <v>0</v>
      </c>
      <c r="H148" s="401" t="s">
        <v>67</v>
      </c>
      <c r="I148" s="401" t="s">
        <v>67</v>
      </c>
    </row>
    <row r="149" spans="1:9" customFormat="1" ht="12.75">
      <c r="A149" s="1470"/>
      <c r="B149" s="1471"/>
      <c r="C149" s="1079" t="s">
        <v>203</v>
      </c>
      <c r="D149" s="1470" t="s">
        <v>542</v>
      </c>
      <c r="E149" s="399" t="s">
        <v>1039</v>
      </c>
      <c r="F149" s="400" t="s">
        <v>830</v>
      </c>
      <c r="G149" s="400" t="s">
        <v>67</v>
      </c>
      <c r="H149" s="401">
        <v>0</v>
      </c>
      <c r="I149" s="401" t="s">
        <v>67</v>
      </c>
    </row>
    <row r="150" spans="1:9" customFormat="1" ht="12.75">
      <c r="A150" s="1470"/>
      <c r="B150" s="1471"/>
      <c r="C150" s="1079" t="s">
        <v>204</v>
      </c>
      <c r="D150" s="1470" t="s">
        <v>542</v>
      </c>
      <c r="E150" s="399">
        <v>33.200000000000003</v>
      </c>
      <c r="F150" s="400" t="s">
        <v>830</v>
      </c>
      <c r="G150" s="400">
        <v>33.200000000000003</v>
      </c>
      <c r="H150" s="401">
        <v>449</v>
      </c>
      <c r="I150" s="401">
        <v>14906.800000000001</v>
      </c>
    </row>
    <row r="151" spans="1:9" customFormat="1" ht="12.75">
      <c r="A151" s="1470"/>
      <c r="B151" s="1471"/>
      <c r="C151" s="1079"/>
      <c r="D151" s="1470"/>
      <c r="E151" s="399" t="s">
        <v>1039</v>
      </c>
      <c r="F151" s="400"/>
      <c r="G151" s="400">
        <v>0</v>
      </c>
      <c r="H151" s="401" t="s">
        <v>67</v>
      </c>
      <c r="I151" s="401" t="s">
        <v>67</v>
      </c>
    </row>
    <row r="152" spans="1:9" customFormat="1" ht="12.75">
      <c r="A152" s="1470"/>
      <c r="B152" s="1471" t="s">
        <v>205</v>
      </c>
      <c r="C152" s="1079"/>
      <c r="D152" s="1470"/>
      <c r="E152" s="399" t="s">
        <v>1039</v>
      </c>
      <c r="F152" s="400"/>
      <c r="G152" s="400">
        <v>0</v>
      </c>
      <c r="H152" s="401" t="s">
        <v>67</v>
      </c>
      <c r="I152" s="401" t="s">
        <v>67</v>
      </c>
    </row>
    <row r="153" spans="1:9" customFormat="1" ht="12.75">
      <c r="A153" s="1470"/>
      <c r="B153" s="1471"/>
      <c r="C153" s="1079" t="s">
        <v>206</v>
      </c>
      <c r="D153" s="1470" t="s">
        <v>542</v>
      </c>
      <c r="E153" s="399">
        <v>33.200000000000003</v>
      </c>
      <c r="F153" s="400" t="s">
        <v>830</v>
      </c>
      <c r="G153" s="400">
        <v>33.200000000000003</v>
      </c>
      <c r="H153" s="401">
        <v>650</v>
      </c>
      <c r="I153" s="401">
        <v>21580.000000000004</v>
      </c>
    </row>
    <row r="154" spans="1:9" customFormat="1" ht="12.75">
      <c r="A154" s="1470"/>
      <c r="B154" s="1471"/>
      <c r="C154" s="1079" t="s">
        <v>207</v>
      </c>
      <c r="D154" s="1470" t="s">
        <v>542</v>
      </c>
      <c r="E154" s="399">
        <v>33.200000000000003</v>
      </c>
      <c r="F154" s="400" t="s">
        <v>830</v>
      </c>
      <c r="G154" s="400">
        <v>33.200000000000003</v>
      </c>
      <c r="H154" s="401">
        <v>1077</v>
      </c>
      <c r="I154" s="401">
        <v>35756.400000000001</v>
      </c>
    </row>
    <row r="155" spans="1:9" customFormat="1" ht="12.75">
      <c r="A155" s="1470"/>
      <c r="B155" s="1471"/>
      <c r="C155" s="1079"/>
      <c r="D155" s="1470"/>
      <c r="E155" s="399" t="s">
        <v>1039</v>
      </c>
      <c r="F155" s="400"/>
      <c r="G155" s="400">
        <v>0</v>
      </c>
      <c r="H155" s="401" t="s">
        <v>67</v>
      </c>
      <c r="I155" s="401" t="s">
        <v>67</v>
      </c>
    </row>
    <row r="156" spans="1:9" customFormat="1" ht="12.75">
      <c r="A156" s="1470"/>
      <c r="B156" s="1471"/>
      <c r="C156" s="1079"/>
      <c r="D156" s="1470"/>
      <c r="E156" s="399" t="s">
        <v>1039</v>
      </c>
      <c r="F156" s="400"/>
      <c r="G156" s="400">
        <v>0</v>
      </c>
      <c r="H156" s="401" t="s">
        <v>67</v>
      </c>
      <c r="I156" s="401" t="s">
        <v>67</v>
      </c>
    </row>
    <row r="157" spans="1:9" customFormat="1" ht="12.75">
      <c r="A157" s="1470" t="s">
        <v>543</v>
      </c>
      <c r="B157" s="1471"/>
      <c r="C157" s="1079"/>
      <c r="D157" s="1470"/>
      <c r="E157" s="399" t="s">
        <v>1039</v>
      </c>
      <c r="F157" s="400"/>
      <c r="G157" s="400">
        <v>0</v>
      </c>
      <c r="H157" s="401" t="s">
        <v>67</v>
      </c>
      <c r="I157" s="401" t="s">
        <v>67</v>
      </c>
    </row>
    <row r="158" spans="1:9" customFormat="1" ht="12.75">
      <c r="A158" s="1470"/>
      <c r="B158" s="1471"/>
      <c r="C158" s="1079" t="s">
        <v>140</v>
      </c>
      <c r="D158" s="1470"/>
      <c r="E158" s="399">
        <v>57.613318217652797</v>
      </c>
      <c r="F158" s="400"/>
      <c r="G158" s="400">
        <v>57.613318217652797</v>
      </c>
      <c r="H158" s="401" t="s">
        <v>67</v>
      </c>
      <c r="I158" s="401" t="s">
        <v>67</v>
      </c>
    </row>
    <row r="159" spans="1:9" customFormat="1" ht="12.75">
      <c r="A159" s="1470"/>
      <c r="B159" s="1471"/>
      <c r="C159" s="1079" t="s">
        <v>544</v>
      </c>
      <c r="D159" s="1470" t="s">
        <v>542</v>
      </c>
      <c r="E159" s="399">
        <v>21.00243281372158</v>
      </c>
      <c r="F159" s="400" t="s">
        <v>830</v>
      </c>
      <c r="G159" s="400">
        <v>21.00243281372158</v>
      </c>
      <c r="H159" s="401" t="s">
        <v>67</v>
      </c>
      <c r="I159" s="401" t="s">
        <v>67</v>
      </c>
    </row>
    <row r="160" spans="1:9" customFormat="1" ht="12.75">
      <c r="A160" s="1470"/>
      <c r="B160" s="1471"/>
      <c r="C160" s="1079" t="s">
        <v>545</v>
      </c>
      <c r="D160" s="1470" t="s">
        <v>542</v>
      </c>
      <c r="E160" s="399">
        <v>40.915604800682907</v>
      </c>
      <c r="F160" s="400" t="s">
        <v>830</v>
      </c>
      <c r="G160" s="400">
        <v>40.915604800682907</v>
      </c>
      <c r="H160" s="401" t="s">
        <v>67</v>
      </c>
      <c r="I160" s="401" t="s">
        <v>67</v>
      </c>
    </row>
    <row r="161" spans="1:9" customFormat="1" ht="12.75">
      <c r="A161" s="1470"/>
      <c r="B161" s="1471"/>
      <c r="C161" s="1079" t="s">
        <v>149</v>
      </c>
      <c r="D161" s="1470"/>
      <c r="E161" s="399" t="s">
        <v>1039</v>
      </c>
      <c r="F161" s="400" t="s">
        <v>830</v>
      </c>
      <c r="G161" s="400" t="s">
        <v>830</v>
      </c>
      <c r="H161" s="401" t="s">
        <v>67</v>
      </c>
      <c r="I161" s="401" t="s">
        <v>67</v>
      </c>
    </row>
    <row r="162" spans="1:9" customFormat="1" ht="12.75">
      <c r="A162" s="1470"/>
      <c r="B162" s="1471"/>
      <c r="C162" s="1079" t="s">
        <v>544</v>
      </c>
      <c r="D162" s="1470" t="s">
        <v>542</v>
      </c>
      <c r="E162" s="399">
        <v>0</v>
      </c>
      <c r="F162" s="400" t="s">
        <v>830</v>
      </c>
      <c r="G162" s="400">
        <v>0</v>
      </c>
      <c r="H162" s="401" t="s">
        <v>67</v>
      </c>
      <c r="I162" s="401" t="s">
        <v>67</v>
      </c>
    </row>
    <row r="163" spans="1:9" customFormat="1" ht="12.75">
      <c r="A163" s="1472"/>
      <c r="B163" s="1083"/>
      <c r="C163" s="1085" t="s">
        <v>545</v>
      </c>
      <c r="D163" s="1472" t="s">
        <v>542</v>
      </c>
      <c r="E163" s="402">
        <v>0</v>
      </c>
      <c r="F163" s="403" t="s">
        <v>830</v>
      </c>
      <c r="G163" s="403">
        <v>0</v>
      </c>
      <c r="H163" s="404" t="s">
        <v>67</v>
      </c>
      <c r="I163" s="404" t="s">
        <v>67</v>
      </c>
    </row>
  </sheetData>
  <phoneticPr fontId="2" type="noConversion"/>
  <pageMargins left="0.75" right="0.75" top="1" bottom="1" header="0.5" footer="0.5"/>
  <pageSetup paperSize="9" scale="3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C4"/>
    <pageSetUpPr fitToPage="1"/>
  </sheetPr>
  <dimension ref="A1:P13"/>
  <sheetViews>
    <sheetView showGridLines="0" workbookViewId="0">
      <selection activeCell="H22" sqref="H22"/>
    </sheetView>
  </sheetViews>
  <sheetFormatPr defaultColWidth="8.85546875" defaultRowHeight="15"/>
  <cols>
    <col min="1" max="1" width="21.7109375" customWidth="1"/>
    <col min="2" max="2" width="9.85546875" hidden="1" customWidth="1"/>
    <col min="3" max="3" width="31.140625" hidden="1" customWidth="1"/>
    <col min="4" max="4" width="8.85546875" hidden="1" customWidth="1"/>
    <col min="5" max="5" width="20.42578125" hidden="1" customWidth="1"/>
    <col min="6" max="7" width="20.42578125" customWidth="1"/>
    <col min="8" max="9" width="21.85546875" customWidth="1"/>
    <col min="10" max="11" width="20.42578125" style="1451" customWidth="1"/>
    <col min="12" max="12" width="21.85546875" style="1451" customWidth="1"/>
    <col min="13" max="14" width="9.140625" style="1451" customWidth="1"/>
    <col min="15" max="15" width="20.42578125" style="1451" customWidth="1"/>
    <col min="16" max="16" width="20.42578125" style="2" customWidth="1"/>
    <col min="17" max="17" width="21.85546875" customWidth="1"/>
  </cols>
  <sheetData>
    <row r="1" spans="1:9" s="26" customFormat="1" ht="19.5">
      <c r="A1" s="4" t="str">
        <f>"Calc-MEAV for Method M ("&amp;'Calc-Net capex'!B5&amp;") for "&amp;Inputs!B6&amp;" in "&amp;Inputs!C6&amp;"  Status: "&amp;Inputs!D6&amp;""</f>
        <v>Calc-MEAV for Method M (LR1) for Electricity North West in 2016/17  Status: 2007/08</v>
      </c>
    </row>
    <row r="2" spans="1:9" customFormat="1" ht="12.75"/>
    <row r="3" spans="1:9" s="442" customFormat="1" ht="26.25" customHeight="1">
      <c r="F3" s="2175" t="s">
        <v>831</v>
      </c>
      <c r="G3" s="2176"/>
      <c r="H3" s="2177"/>
    </row>
    <row r="4" spans="1:9" s="442" customFormat="1" ht="27.75" customHeight="1">
      <c r="F4" s="2178" t="s">
        <v>832</v>
      </c>
      <c r="G4" s="2179"/>
      <c r="H4" s="2180"/>
    </row>
    <row r="5" spans="1:9" customFormat="1" ht="12.75">
      <c r="F5" s="1473"/>
      <c r="G5" s="1474" t="s">
        <v>223</v>
      </c>
      <c r="H5" s="1081" t="s">
        <v>833</v>
      </c>
    </row>
    <row r="6" spans="1:9" customFormat="1" ht="12.75">
      <c r="F6" s="1475" t="s">
        <v>244</v>
      </c>
      <c r="G6" s="1476">
        <f>SUM('Data-MEAV'!I20:I39)</f>
        <v>5442185.0120996283</v>
      </c>
      <c r="H6" s="1477">
        <f>G6/$G$11</f>
        <v>0.45564330560677752</v>
      </c>
    </row>
    <row r="7" spans="1:9" customFormat="1" ht="12.75">
      <c r="F7" s="1475" t="s">
        <v>550</v>
      </c>
      <c r="G7" s="1478">
        <f>SUM('Data-MEAV'!I62:I63)+SUM('Data-MEAV'!I69:I70)+SUM('Data-MEAV'!I75:I78)</f>
        <v>688266.54029010737</v>
      </c>
      <c r="H7" s="1479">
        <f>G7/$G$11</f>
        <v>5.7624656431026856E-2</v>
      </c>
    </row>
    <row r="8" spans="1:9" customFormat="1" ht="12.75">
      <c r="F8" s="1475" t="s">
        <v>245</v>
      </c>
      <c r="G8" s="1478">
        <f>SUM('Data-MEAV'!I42:I56)+SUM('Data-MEAV'!I59:I61)+SUM('Data-MEAV'!I64:I68)+SUM('Data-MEAV'!I71:I72)+SUM('Data-MEAV'!I158:I163)+SUM('Data-MEAV'!I153:I154)</f>
        <v>2448211.2247172631</v>
      </c>
      <c r="H8" s="1479">
        <f>G8/$G$11</f>
        <v>0.20497484976598029</v>
      </c>
    </row>
    <row r="9" spans="1:9" customFormat="1" ht="12.75">
      <c r="F9" s="1475" t="s">
        <v>427</v>
      </c>
      <c r="G9" s="1478">
        <f>'Calc-Drivers'!E32*(SUM('Data-MEAV'!I81:I120)+SUM('Data-MEAV'!I149:I150))</f>
        <v>1319989.3122716353</v>
      </c>
      <c r="H9" s="1479">
        <f>G9/$G$11</f>
        <v>0.11051522362284112</v>
      </c>
      <c r="I9" s="409"/>
    </row>
    <row r="10" spans="1:9" customFormat="1" ht="12.75">
      <c r="F10" s="1480" t="s">
        <v>506</v>
      </c>
      <c r="G10" s="1481">
        <f>'Calc-Drivers'!E32*SUM('Data-MEAV'!I121:I146)</f>
        <v>2045307.0232265706</v>
      </c>
      <c r="H10" s="1482">
        <f>G10/$G$11</f>
        <v>0.17124196457337421</v>
      </c>
      <c r="I10" s="409"/>
    </row>
    <row r="11" spans="1:9" customFormat="1" ht="12.75">
      <c r="F11" s="1483" t="s">
        <v>220</v>
      </c>
      <c r="G11" s="1484">
        <f>SUM(G6:G10)</f>
        <v>11943959.112605205</v>
      </c>
      <c r="H11" s="1485">
        <f>SUM(H6:H10)</f>
        <v>1</v>
      </c>
    </row>
    <row r="12" spans="1:9" customFormat="1" ht="12.75"/>
    <row r="13" spans="1:9" customFormat="1" ht="12.75"/>
  </sheetData>
  <sheetProtection sheet="1" objects="1" scenarios="1"/>
  <mergeCells count="2">
    <mergeCell ref="F3:H3"/>
    <mergeCell ref="F4:H4"/>
  </mergeCells>
  <phoneticPr fontId="2" type="noConversion"/>
  <pageMargins left="0.75" right="0.75" top="1" bottom="1" header="0.5" footer="0.5"/>
  <pageSetup paperSize="9" scale="4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C4"/>
    <pageSetUpPr fitToPage="1"/>
  </sheetPr>
  <dimension ref="A1:F39"/>
  <sheetViews>
    <sheetView showGridLines="0" workbookViewId="0">
      <selection activeCell="D37" sqref="D37"/>
    </sheetView>
  </sheetViews>
  <sheetFormatPr defaultColWidth="8.85546875" defaultRowHeight="12.75"/>
  <cols>
    <col min="1" max="1" width="59.140625" customWidth="1"/>
    <col min="2" max="2" width="16" customWidth="1"/>
    <col min="3" max="6" width="19" customWidth="1"/>
  </cols>
  <sheetData>
    <row r="1" spans="1:6" s="26" customFormat="1" ht="19.5">
      <c r="A1" s="4" t="str">
        <f>"Calc-Units for Method M ("&amp;'Calc-Net capex'!B5&amp;") for "&amp;Inputs!B6&amp;" in "&amp;Inputs!C6&amp;"  Status: "&amp;Inputs!D6&amp;""</f>
        <v>Calc-Units for Method M (LR1) for Electricity North West in 2016/17  Status: 2007/08</v>
      </c>
    </row>
    <row r="3" spans="1:6" ht="15.75">
      <c r="A3" s="1486" t="s">
        <v>834</v>
      </c>
      <c r="D3" s="407"/>
    </row>
    <row r="4" spans="1:6" ht="38.25">
      <c r="B4" s="1487" t="s">
        <v>835</v>
      </c>
    </row>
    <row r="5" spans="1:6">
      <c r="A5" s="1487" t="s">
        <v>836</v>
      </c>
      <c r="B5" s="1488">
        <f>'RRP 5.1'!G36</f>
        <v>16988.7</v>
      </c>
    </row>
    <row r="6" spans="1:6">
      <c r="A6" s="1487" t="s">
        <v>837</v>
      </c>
      <c r="B6" s="1488">
        <f>'RRP 5.1'!G35</f>
        <v>7190.9</v>
      </c>
    </row>
    <row r="7" spans="1:6">
      <c r="A7" s="1487" t="s">
        <v>838</v>
      </c>
      <c r="B7" s="1488">
        <f>'RRP 5.1'!G34</f>
        <v>1422.2</v>
      </c>
    </row>
    <row r="8" spans="1:6">
      <c r="A8" s="1487" t="s">
        <v>839</v>
      </c>
      <c r="B8" s="1488">
        <f>'RRP 5.1'!G40</f>
        <v>1278.4000000000001</v>
      </c>
    </row>
    <row r="10" spans="1:6" ht="15.75">
      <c r="A10" s="1486" t="s">
        <v>840</v>
      </c>
    </row>
    <row r="11" spans="1:6">
      <c r="B11" s="1498" t="s">
        <v>841</v>
      </c>
      <c r="C11" s="1498" t="s">
        <v>244</v>
      </c>
      <c r="D11" s="1498" t="s">
        <v>245</v>
      </c>
      <c r="E11" s="1498" t="s">
        <v>427</v>
      </c>
      <c r="F11" s="1498" t="s">
        <v>426</v>
      </c>
    </row>
    <row r="12" spans="1:6">
      <c r="A12" s="1487" t="s">
        <v>836</v>
      </c>
      <c r="B12" s="1488">
        <v>1</v>
      </c>
      <c r="C12" s="1488">
        <v>1</v>
      </c>
      <c r="D12" s="1488">
        <v>1</v>
      </c>
      <c r="E12" s="1488">
        <v>1</v>
      </c>
      <c r="F12" s="1488">
        <v>1</v>
      </c>
    </row>
    <row r="13" spans="1:6">
      <c r="A13" s="1487" t="s">
        <v>837</v>
      </c>
      <c r="B13" s="1488">
        <v>0</v>
      </c>
      <c r="C13" s="1488">
        <v>0</v>
      </c>
      <c r="D13" s="1488">
        <f>(1+$B$8/($B$5+$B$6/2+$B$7/4)/2)/(1+$B$8/($B$5+$B$6/2+$B$7/4))</f>
        <v>0.97123066328804009</v>
      </c>
      <c r="E13" s="1488">
        <f>(1+$B$8/($B$5+$B$6/2+$B$7/4)/2)/(1+$B$8/($B$5+$B$6/2+$B$7/4))</f>
        <v>0.97123066328804009</v>
      </c>
      <c r="F13" s="1488">
        <f>(1+$B$8/($B$5+$B$6/2+$B$7/4)/2)/(1+$B$8/($B$5+$B$6/2+$B$7/4))</f>
        <v>0.97123066328804009</v>
      </c>
    </row>
    <row r="14" spans="1:6">
      <c r="A14" s="1487" t="s">
        <v>838</v>
      </c>
      <c r="B14" s="1488">
        <v>0</v>
      </c>
      <c r="C14" s="1488">
        <v>0</v>
      </c>
      <c r="D14" s="1488">
        <v>0</v>
      </c>
      <c r="E14" s="1488">
        <f>(1+$B$8/($B$5+$B$6/2+$B$7/4)/4)/(1+$B$8/($B$5+$B$6/2+$B$7/4))</f>
        <v>0.95684599493205991</v>
      </c>
      <c r="F14" s="1488">
        <f>(1+$B$8/($B$5+$B$6/2+$B$7/4)/4)/(1+$B$8/($B$5+$B$6/2+$B$7/4))</f>
        <v>0.95684599493205991</v>
      </c>
    </row>
    <row r="16" spans="1:6" ht="15.75">
      <c r="A16" s="1489"/>
    </row>
    <row r="17" spans="1:6" ht="14.25">
      <c r="A17" s="1490"/>
    </row>
    <row r="18" spans="1:6" ht="14.25">
      <c r="A18" s="1490"/>
    </row>
    <row r="19" spans="1:6" ht="14.25">
      <c r="A19" s="1491"/>
    </row>
    <row r="20" spans="1:6" ht="14.25">
      <c r="A20" s="1491"/>
    </row>
    <row r="21" spans="1:6">
      <c r="B21" s="1498" t="s">
        <v>841</v>
      </c>
      <c r="C21" s="1498" t="s">
        <v>244</v>
      </c>
      <c r="D21" s="1498" t="s">
        <v>245</v>
      </c>
      <c r="E21" s="1498" t="s">
        <v>427</v>
      </c>
      <c r="F21" s="1498" t="s">
        <v>426</v>
      </c>
    </row>
    <row r="22" spans="1:6">
      <c r="A22" s="1487" t="s">
        <v>842</v>
      </c>
      <c r="B22" s="1492">
        <f>SUMPRODUCT(B$12:B$14,$B$5:$B$7)</f>
        <v>16988.7</v>
      </c>
      <c r="C22" s="1492">
        <f>SUMPRODUCT(C$12:C$14,$B$5:$B$7)</f>
        <v>16988.7</v>
      </c>
      <c r="D22" s="1492">
        <f>SUMPRODUCT(D$12:D$14,$B$5:$B$7)</f>
        <v>23972.722576637967</v>
      </c>
      <c r="E22" s="1492">
        <f>SUMPRODUCT(E$12:E$14,$B$5:$B$7)</f>
        <v>25333.548950630342</v>
      </c>
      <c r="F22" s="1492">
        <f>SUMPRODUCT(F$12:F$14,$B$5:$B$7)</f>
        <v>25333.548950630342</v>
      </c>
    </row>
    <row r="23" spans="1:6">
      <c r="A23" s="1487" t="s">
        <v>843</v>
      </c>
      <c r="B23" s="1493">
        <f>B22*1000000</f>
        <v>16988700000</v>
      </c>
      <c r="C23" s="1493">
        <f>C22*1000000</f>
        <v>16988700000</v>
      </c>
      <c r="D23" s="1493">
        <f>D22*1000000</f>
        <v>23972722576.637966</v>
      </c>
      <c r="E23" s="1493">
        <f>E22*1000000</f>
        <v>25333548950.630341</v>
      </c>
      <c r="F23" s="1493">
        <f>F22*1000000</f>
        <v>25333548950.630341</v>
      </c>
    </row>
    <row r="27" spans="1:6">
      <c r="A27" s="1494"/>
      <c r="B27" s="1494"/>
      <c r="C27" s="1494"/>
      <c r="D27" s="1494"/>
      <c r="E27" s="1494"/>
    </row>
    <row r="28" spans="1:6">
      <c r="A28" s="1494"/>
      <c r="B28" s="1494"/>
      <c r="C28" s="1494"/>
      <c r="D28" s="1494"/>
      <c r="E28" s="1494"/>
    </row>
    <row r="29" spans="1:6">
      <c r="A29" s="1494"/>
      <c r="B29" s="1494"/>
      <c r="C29" s="1495"/>
      <c r="D29" s="1495"/>
      <c r="E29" s="1495"/>
    </row>
    <row r="30" spans="1:6">
      <c r="A30" s="1494"/>
      <c r="B30" s="1494"/>
      <c r="C30" s="1495"/>
      <c r="D30" s="1495"/>
      <c r="E30" s="1495"/>
    </row>
    <row r="31" spans="1:6">
      <c r="A31" s="1494"/>
      <c r="B31" s="1494"/>
      <c r="C31" s="1495"/>
      <c r="D31" s="1495"/>
      <c r="E31" s="1495"/>
    </row>
    <row r="32" spans="1:6">
      <c r="A32" s="1494"/>
      <c r="B32" s="1494"/>
      <c r="C32" s="1495"/>
      <c r="D32" s="1495"/>
      <c r="E32" s="1495"/>
    </row>
    <row r="33" spans="1:5">
      <c r="A33" s="1494"/>
      <c r="B33" s="1494"/>
      <c r="C33" s="1496"/>
      <c r="D33" s="1496"/>
      <c r="E33" s="1495"/>
    </row>
    <row r="34" spans="1:5">
      <c r="A34" s="1494"/>
      <c r="B34" s="1494"/>
      <c r="C34" s="1496"/>
      <c r="D34" s="1496"/>
      <c r="E34" s="1495"/>
    </row>
    <row r="35" spans="1:5">
      <c r="A35" s="1494"/>
      <c r="B35" s="1494"/>
      <c r="C35" s="1496"/>
      <c r="D35" s="1496"/>
      <c r="E35" s="1495"/>
    </row>
    <row r="36" spans="1:5">
      <c r="A36" s="1494"/>
      <c r="B36" s="1494"/>
      <c r="C36" s="1496"/>
      <c r="D36" s="1496"/>
      <c r="E36" s="1495"/>
    </row>
    <row r="37" spans="1:5">
      <c r="A37" s="1494"/>
      <c r="B37" s="1494"/>
      <c r="C37" s="1496"/>
      <c r="D37" s="1497"/>
      <c r="E37" s="1497"/>
    </row>
    <row r="38" spans="1:5">
      <c r="A38" s="1494"/>
      <c r="B38" s="1494"/>
      <c r="C38" s="1497"/>
      <c r="D38" s="1497"/>
      <c r="E38" s="1497"/>
    </row>
    <row r="39" spans="1:5">
      <c r="A39" s="1494"/>
      <c r="B39" s="1494"/>
      <c r="C39" s="1495"/>
      <c r="D39" s="1495"/>
      <c r="E39" s="1495"/>
    </row>
  </sheetData>
  <sheetProtection sheet="1" objects="1" scenarios="1"/>
  <phoneticPr fontId="2" type="noConversion"/>
  <pageMargins left="0.75" right="0.75" top="1" bottom="1" header="0.5" footer="0.5"/>
  <pageSetup paperSize="9" scale="5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C4"/>
    <pageSetUpPr fitToPage="1"/>
  </sheetPr>
  <dimension ref="A1:P111"/>
  <sheetViews>
    <sheetView showGridLines="0" zoomScale="80" zoomScaleNormal="80" workbookViewId="0">
      <selection activeCell="W31" sqref="W31"/>
    </sheetView>
  </sheetViews>
  <sheetFormatPr defaultColWidth="8.85546875" defaultRowHeight="12.75"/>
  <cols>
    <col min="1" max="1" width="8.85546875" customWidth="1"/>
    <col min="2" max="10" width="11.42578125" customWidth="1"/>
  </cols>
  <sheetData>
    <row r="1" spans="1:16" s="26" customFormat="1" ht="19.5">
      <c r="A1" s="4" t="str">
        <f>"Calc-Net capex for Method M ("&amp;B5&amp;") for "&amp;Inputs!B6&amp;" in "&amp;Inputs!C6&amp;"  Status: "&amp;Inputs!D6&amp;""</f>
        <v>Calc-Net capex for Method M (LR1) for Electricity North West in 2016/17  Status: 2007/08</v>
      </c>
    </row>
    <row r="3" spans="1:16" ht="26.25" customHeight="1">
      <c r="A3" s="1499" t="s">
        <v>844</v>
      </c>
      <c r="F3" s="2185" t="s">
        <v>845</v>
      </c>
      <c r="G3" s="2189"/>
      <c r="H3" s="2186"/>
      <c r="J3" s="2185" t="s">
        <v>546</v>
      </c>
      <c r="K3" s="2189"/>
      <c r="L3" s="2186"/>
      <c r="N3" s="2185" t="s">
        <v>547</v>
      </c>
      <c r="O3" s="2189"/>
      <c r="P3" s="2186"/>
    </row>
    <row r="4" spans="1:16" ht="12.75" customHeight="1">
      <c r="C4" s="1500" t="s">
        <v>846</v>
      </c>
      <c r="D4" s="1500" t="s">
        <v>847</v>
      </c>
      <c r="F4" s="2190"/>
      <c r="G4" s="2191"/>
      <c r="H4" s="2192"/>
      <c r="J4" s="2185" t="s">
        <v>548</v>
      </c>
      <c r="K4" s="2189"/>
      <c r="L4" s="2186"/>
      <c r="N4" s="2185" t="s">
        <v>549</v>
      </c>
      <c r="O4" s="2189"/>
      <c r="P4" s="2186"/>
    </row>
    <row r="5" spans="1:16" ht="15">
      <c r="B5" s="1501" t="str">
        <f>IF(Inputs!A20,INDEX(C4:D4,Inputs!A20),"No option selected")</f>
        <v>LR1</v>
      </c>
      <c r="F5" s="1473"/>
      <c r="G5" s="1082" t="s">
        <v>223</v>
      </c>
      <c r="H5" s="1081" t="s">
        <v>833</v>
      </c>
      <c r="J5" s="1078" t="s">
        <v>427</v>
      </c>
      <c r="K5" s="1502">
        <f>'Reductions to net capex'!K5</f>
        <v>0</v>
      </c>
      <c r="L5" s="1503">
        <f>K$5*(F21/(F21+F22))</f>
        <v>0</v>
      </c>
      <c r="N5" s="1080"/>
      <c r="O5" s="1081" t="s">
        <v>223</v>
      </c>
      <c r="P5" s="1082"/>
    </row>
    <row r="6" spans="1:16">
      <c r="F6" s="1090" t="s">
        <v>244</v>
      </c>
      <c r="G6" s="1504">
        <f>C39+F39+I39+C49+F49-O6</f>
        <v>189.44111604711631</v>
      </c>
      <c r="H6" s="1505">
        <f>G6/SUM($G$6:$G$10)</f>
        <v>0.24252505990955642</v>
      </c>
      <c r="J6" s="1083" t="s">
        <v>426</v>
      </c>
      <c r="K6" s="1084"/>
      <c r="L6" s="1506">
        <f>K$5*(F22/(F21+F22))</f>
        <v>0</v>
      </c>
      <c r="N6" s="1086" t="s">
        <v>244</v>
      </c>
      <c r="O6" s="1507">
        <f>'Reductions to net capex'!O6</f>
        <v>0</v>
      </c>
      <c r="P6" s="1088"/>
    </row>
    <row r="7" spans="1:16">
      <c r="F7" s="1090" t="s">
        <v>550</v>
      </c>
      <c r="G7" s="1508">
        <f>C40+F40+I40+C50+F50-O7</f>
        <v>65.660489885737618</v>
      </c>
      <c r="H7" s="1509">
        <f>G7/SUM($G$6:$G$10)</f>
        <v>8.4059440608810432E-2</v>
      </c>
      <c r="N7" s="1090" t="s">
        <v>550</v>
      </c>
      <c r="O7" s="1510">
        <f>'Reductions to net capex'!O7</f>
        <v>0</v>
      </c>
      <c r="P7" s="1079"/>
    </row>
    <row r="8" spans="1:16">
      <c r="F8" s="1090" t="s">
        <v>245</v>
      </c>
      <c r="G8" s="1508">
        <f>C41+F41+I41+C51+F51-O8</f>
        <v>193.59094122355754</v>
      </c>
      <c r="H8" s="1509">
        <f>G8/SUM($G$6:$G$10)</f>
        <v>0.24783772180962821</v>
      </c>
      <c r="N8" s="1090" t="s">
        <v>245</v>
      </c>
      <c r="O8" s="1510">
        <f>'Reductions to net capex'!O8</f>
        <v>0</v>
      </c>
      <c r="P8" s="1079"/>
    </row>
    <row r="9" spans="1:16">
      <c r="F9" s="1090" t="s">
        <v>427</v>
      </c>
      <c r="G9" s="1511">
        <f>'Calc-Drivers'!E32*(C42+F42+I42+C52+F52-L5-O9)</f>
        <v>127.78504129634086</v>
      </c>
      <c r="H9" s="1509">
        <f>G9/SUM($G$6:$G$10)</f>
        <v>0.16359212531366396</v>
      </c>
      <c r="N9" s="1090" t="s">
        <v>427</v>
      </c>
      <c r="O9" s="1510">
        <f>'Reductions to net capex'!O9</f>
        <v>0</v>
      </c>
      <c r="P9" s="1079"/>
    </row>
    <row r="10" spans="1:16">
      <c r="B10" s="1512"/>
      <c r="C10" s="1513"/>
      <c r="D10" s="1514"/>
      <c r="F10" s="1092" t="s">
        <v>506</v>
      </c>
      <c r="G10" s="1515">
        <f>'Calc-Drivers'!E32*(C43+F43+I43+C53+F53-L6-O10)</f>
        <v>204.64216930656372</v>
      </c>
      <c r="H10" s="1516">
        <f>G10/SUM($G$6:$G$10)</f>
        <v>0.26198565235834104</v>
      </c>
      <c r="N10" s="1092" t="s">
        <v>506</v>
      </c>
      <c r="O10" s="1517">
        <f>'Reductions to net capex'!O10</f>
        <v>0</v>
      </c>
      <c r="P10" s="1085"/>
    </row>
    <row r="11" spans="1:16">
      <c r="B11" s="1512"/>
      <c r="C11" s="1513"/>
      <c r="D11" s="1518"/>
    </row>
    <row r="12" spans="1:16" ht="12" customHeight="1">
      <c r="B12" s="1512"/>
      <c r="C12" s="1089"/>
    </row>
    <row r="13" spans="1:16" s="1460" customFormat="1">
      <c r="A13" s="1459" t="s">
        <v>848</v>
      </c>
    </row>
    <row r="15" spans="1:16" ht="5.25" customHeight="1"/>
    <row r="16" spans="1:16" s="1519" customFormat="1" ht="26.25" customHeight="1">
      <c r="B16" s="2185" t="s">
        <v>849</v>
      </c>
      <c r="C16" s="2186"/>
      <c r="E16" s="2185" t="s">
        <v>850</v>
      </c>
      <c r="F16" s="2186"/>
      <c r="H16" s="2185" t="s">
        <v>851</v>
      </c>
      <c r="I16" s="2186"/>
    </row>
    <row r="17" spans="2:9" s="442" customFormat="1" ht="45.95" customHeight="1">
      <c r="B17" s="2178" t="s">
        <v>852</v>
      </c>
      <c r="C17" s="2180"/>
      <c r="E17" s="2178" t="s">
        <v>853</v>
      </c>
      <c r="F17" s="2180"/>
      <c r="H17" s="2178" t="s">
        <v>854</v>
      </c>
      <c r="I17" s="2180"/>
    </row>
    <row r="18" spans="2:9" ht="12.75" customHeight="1">
      <c r="B18" s="1080"/>
      <c r="C18" s="1504"/>
      <c r="E18" s="1466"/>
      <c r="F18" s="1504"/>
      <c r="H18" s="1466"/>
      <c r="I18" s="1504"/>
    </row>
    <row r="19" spans="2:9" ht="12" customHeight="1">
      <c r="B19" s="1090" t="s">
        <v>244</v>
      </c>
      <c r="C19" s="1508">
        <f>IF(Inputs!$A$20=1,C87,IF(Inputs!$A$20=2,C66,#VALUE!))</f>
        <v>53.683413478638073</v>
      </c>
      <c r="E19" s="1475" t="s">
        <v>244</v>
      </c>
      <c r="F19" s="1508">
        <f>SUM('FBPQ LR4'!D11:M11)</f>
        <v>4.5642234081942981</v>
      </c>
      <c r="H19" s="1475" t="s">
        <v>244</v>
      </c>
      <c r="I19" s="1508">
        <f>SUM('FBPQ LR6'!C28:L28)</f>
        <v>0</v>
      </c>
    </row>
    <row r="20" spans="2:9" ht="12" customHeight="1">
      <c r="B20" s="1090" t="s">
        <v>245</v>
      </c>
      <c r="C20" s="1508">
        <f>IF(Inputs!$A$20=1,C88,IF(Inputs!$A$20=2,C67,#VALUE!))</f>
        <v>15.346009876149125</v>
      </c>
      <c r="E20" s="1475" t="s">
        <v>245</v>
      </c>
      <c r="F20" s="1508">
        <f>SUM('FBPQ LR4'!D12:M12)</f>
        <v>37.3517583916164</v>
      </c>
      <c r="H20" s="1475" t="s">
        <v>245</v>
      </c>
      <c r="I20" s="1508">
        <f>SUM('FBPQ LR6'!C29:L29)</f>
        <v>4.3556923458407386</v>
      </c>
    </row>
    <row r="21" spans="2:9">
      <c r="B21" s="1090" t="s">
        <v>427</v>
      </c>
      <c r="C21" s="1508">
        <f>IF(Inputs!$A$20=1,C89,IF(Inputs!$A$20=2,C68,#VALUE!))</f>
        <v>2.2688379914661976</v>
      </c>
      <c r="E21" s="1475" t="s">
        <v>427</v>
      </c>
      <c r="F21" s="1508">
        <f>SUM('FBPQ LR4'!D13:M13)</f>
        <v>37.878736230499165</v>
      </c>
      <c r="H21" s="1475" t="s">
        <v>427</v>
      </c>
      <c r="I21" s="1508">
        <f>SUM('FBPQ LR6'!C30:L30)</f>
        <v>2.948693432967417</v>
      </c>
    </row>
    <row r="22" spans="2:9">
      <c r="B22" s="1092" t="s">
        <v>506</v>
      </c>
      <c r="C22" s="1520">
        <f>IF(Inputs!$A$20=1,C90,IF(Inputs!$A$20=2,C69,#VALUE!))</f>
        <v>2.8453715054258241E-2</v>
      </c>
      <c r="E22" s="1480" t="s">
        <v>506</v>
      </c>
      <c r="F22" s="1520">
        <f>SUM('FBPQ LR4'!D14:M14)</f>
        <v>81.740188527973061</v>
      </c>
      <c r="H22" s="1480" t="s">
        <v>506</v>
      </c>
      <c r="I22" s="1520">
        <f>SUM('FBPQ LR6'!C31:L31)</f>
        <v>0</v>
      </c>
    </row>
    <row r="25" spans="2:9" ht="36.950000000000003" customHeight="1">
      <c r="B25" s="2185" t="s">
        <v>855</v>
      </c>
      <c r="C25" s="2186"/>
      <c r="E25" s="2187" t="s">
        <v>856</v>
      </c>
      <c r="F25" s="2188"/>
    </row>
    <row r="26" spans="2:9" s="442" customFormat="1" ht="27.75" customHeight="1">
      <c r="B26" s="2178" t="s">
        <v>857</v>
      </c>
      <c r="C26" s="2180"/>
      <c r="E26" s="2183" t="s">
        <v>858</v>
      </c>
      <c r="F26" s="2184"/>
    </row>
    <row r="27" spans="2:9">
      <c r="B27" s="1466"/>
      <c r="C27" s="1504"/>
      <c r="E27" s="1466"/>
      <c r="F27" s="1504"/>
    </row>
    <row r="28" spans="2:9">
      <c r="B28" s="1475" t="s">
        <v>244</v>
      </c>
      <c r="C28" s="1508">
        <f>SUM('FBPQ NL1'!D10:M16)</f>
        <v>131.19347916028394</v>
      </c>
      <c r="E28" s="1475" t="s">
        <v>244</v>
      </c>
      <c r="F28" s="1508">
        <f>SUM('NL9 - Legal &amp; Safety'!D33:M33,'NL9 - Legal &amp; Safety'!D42:M42)</f>
        <v>0</v>
      </c>
    </row>
    <row r="29" spans="2:9">
      <c r="B29" s="1475" t="s">
        <v>245</v>
      </c>
      <c r="C29" s="1508">
        <f>SUM('FBPQ NL1'!D17:M22)</f>
        <v>202.19797049568885</v>
      </c>
      <c r="E29" s="1475" t="s">
        <v>245</v>
      </c>
      <c r="F29" s="1508">
        <f>SUM('NL9 - Legal &amp; Safety'!D34:M34,'NL9 - Legal &amp; Safety'!D43:M43)</f>
        <v>0</v>
      </c>
    </row>
    <row r="30" spans="2:9">
      <c r="B30" s="1475" t="s">
        <v>427</v>
      </c>
      <c r="C30" s="1508">
        <f>SUM('FBPQ NL1'!D23:M28)</f>
        <v>101.86165514676397</v>
      </c>
      <c r="E30" s="1475" t="s">
        <v>427</v>
      </c>
      <c r="F30" s="1508">
        <f>SUM('NL9 - Legal &amp; Safety'!D35:M35,'NL9 - Legal &amp; Safety'!D44:M44)</f>
        <v>0</v>
      </c>
    </row>
    <row r="31" spans="2:9">
      <c r="B31" s="1480" t="s">
        <v>506</v>
      </c>
      <c r="C31" s="1520">
        <f>SUM('FBPQ NL1'!D29:M34)</f>
        <v>150.37514766677072</v>
      </c>
      <c r="E31" s="1480" t="s">
        <v>506</v>
      </c>
      <c r="F31" s="1520">
        <f>SUM('NL9 - Legal &amp; Safety'!D36:M36,'NL9 - Legal &amp; Safety'!D45:M45)</f>
        <v>0</v>
      </c>
    </row>
    <row r="33" spans="1:10" s="1460" customFormat="1">
      <c r="A33" s="1459" t="s">
        <v>859</v>
      </c>
    </row>
    <row r="35" spans="1:10" ht="5.25" customHeight="1"/>
    <row r="36" spans="1:10" s="1519" customFormat="1" ht="51" customHeight="1">
      <c r="B36" s="2185" t="s">
        <v>849</v>
      </c>
      <c r="C36" s="2186"/>
      <c r="E36" s="2185" t="s">
        <v>850</v>
      </c>
      <c r="F36" s="2186"/>
      <c r="H36" s="2185" t="s">
        <v>851</v>
      </c>
      <c r="I36" s="2186"/>
    </row>
    <row r="37" spans="1:10" s="442" customFormat="1" ht="51" customHeight="1">
      <c r="B37" s="2178" t="s">
        <v>852</v>
      </c>
      <c r="C37" s="2180"/>
      <c r="E37" s="2178" t="s">
        <v>853</v>
      </c>
      <c r="F37" s="2180"/>
      <c r="H37" s="2178" t="s">
        <v>854</v>
      </c>
      <c r="I37" s="2180"/>
    </row>
    <row r="38" spans="1:10" ht="12.75" customHeight="1">
      <c r="B38" s="1080"/>
      <c r="C38" s="1504"/>
      <c r="E38" s="1466"/>
      <c r="F38" s="1504"/>
      <c r="H38" s="1466"/>
      <c r="I38" s="1504"/>
    </row>
    <row r="39" spans="1:10">
      <c r="B39" s="1090" t="s">
        <v>244</v>
      </c>
      <c r="C39" s="1508">
        <f>IF(Inputs!$A$20=1,C96,IF(Inputs!$A$20=2,C75,#VALUE!))</f>
        <v>53.683413478638073</v>
      </c>
      <c r="E39" s="1475" t="s">
        <v>244</v>
      </c>
      <c r="F39" s="1508">
        <f>SUM('FBPQ LR4'!D11:M11)</f>
        <v>4.5642234081942981</v>
      </c>
      <c r="H39" s="1475" t="s">
        <v>244</v>
      </c>
      <c r="I39" s="1508">
        <f>SUM('FBPQ LR6'!C28:L28)</f>
        <v>0</v>
      </c>
    </row>
    <row r="40" spans="1:10" ht="38.25">
      <c r="B40" s="1090" t="s">
        <v>550</v>
      </c>
      <c r="C40" s="1508">
        <f>IF(Inputs!$A$20=1,C97,IF(Inputs!$A$20=2,C76,#VALUE!))</f>
        <v>4.7682838359718813</v>
      </c>
      <c r="D40" s="1521" t="s">
        <v>860</v>
      </c>
      <c r="E40" s="1090" t="s">
        <v>550</v>
      </c>
      <c r="F40" s="1508">
        <f>SUM('FBPQ LR4'!D12:M12)*(C55)</f>
        <v>11.605869357655093</v>
      </c>
      <c r="G40" s="1522" t="s">
        <v>860</v>
      </c>
      <c r="H40" s="1090" t="s">
        <v>550</v>
      </c>
      <c r="I40" s="1508">
        <f>SUM('FBPQ LR6'!C29:L29)*(C55)</f>
        <v>1.353392678276484</v>
      </c>
      <c r="J40" s="1522" t="s">
        <v>860</v>
      </c>
    </row>
    <row r="41" spans="1:10">
      <c r="B41" s="1090" t="s">
        <v>245</v>
      </c>
      <c r="C41" s="1508">
        <f>IF(Inputs!$A$20=1,C98,IF(Inputs!$A$20=2,C77,#VALUE!))</f>
        <v>10.577726040177245</v>
      </c>
      <c r="E41" s="1475" t="s">
        <v>245</v>
      </c>
      <c r="F41" s="1508">
        <f>SUM('FBPQ LR4'!D12:M12)*(1-C55)</f>
        <v>25.745889033961308</v>
      </c>
      <c r="H41" s="1475" t="s">
        <v>245</v>
      </c>
      <c r="I41" s="1508">
        <f>SUM('FBPQ LR6'!C29:L29)*(1-C55)</f>
        <v>3.0022996675642548</v>
      </c>
    </row>
    <row r="42" spans="1:10">
      <c r="B42" s="1090" t="s">
        <v>427</v>
      </c>
      <c r="C42" s="1508">
        <f>IF(Inputs!$A$20=1,C99,IF(Inputs!$A$20=2,C78,#VALUE!))</f>
        <v>2.2688379914661976</v>
      </c>
      <c r="E42" s="1475" t="s">
        <v>427</v>
      </c>
      <c r="F42" s="1508">
        <f>SUM('FBPQ LR4'!D13:M13)</f>
        <v>37.878736230499165</v>
      </c>
      <c r="H42" s="1475" t="s">
        <v>427</v>
      </c>
      <c r="I42" s="1508">
        <f>SUM('FBPQ LR6'!C30:L30)</f>
        <v>2.948693432967417</v>
      </c>
    </row>
    <row r="43" spans="1:10">
      <c r="B43" s="1092" t="s">
        <v>506</v>
      </c>
      <c r="C43" s="1520">
        <f>IF(Inputs!$A$20=1,C100,IF(Inputs!$A$20=2,C79,#VALUE!))</f>
        <v>2.8453715054258241E-2</v>
      </c>
      <c r="E43" s="1480" t="s">
        <v>506</v>
      </c>
      <c r="F43" s="1520">
        <f>SUM('FBPQ LR4'!D14:M14)</f>
        <v>81.740188527973061</v>
      </c>
      <c r="H43" s="1480" t="s">
        <v>506</v>
      </c>
      <c r="I43" s="1520">
        <f>SUM('FBPQ LR6'!C31:L31)</f>
        <v>0</v>
      </c>
    </row>
    <row r="46" spans="1:10" ht="27.75" customHeight="1">
      <c r="B46" s="2185" t="s">
        <v>855</v>
      </c>
      <c r="C46" s="2186"/>
      <c r="E46" s="2187" t="s">
        <v>856</v>
      </c>
      <c r="F46" s="2188"/>
      <c r="H46" s="2187" t="s">
        <v>856</v>
      </c>
      <c r="I46" s="2188"/>
    </row>
    <row r="47" spans="1:10" s="442" customFormat="1" ht="27.75" customHeight="1">
      <c r="B47" s="2178" t="s">
        <v>857</v>
      </c>
      <c r="C47" s="2180"/>
      <c r="E47" s="2183" t="s">
        <v>858</v>
      </c>
      <c r="F47" s="2184"/>
      <c r="H47" s="2181" t="s">
        <v>861</v>
      </c>
      <c r="I47" s="2182"/>
    </row>
    <row r="48" spans="1:10">
      <c r="B48" s="1466"/>
      <c r="C48" s="1504"/>
      <c r="E48" s="1466"/>
      <c r="F48" s="1504"/>
      <c r="H48" s="1466"/>
      <c r="I48" s="1466"/>
    </row>
    <row r="49" spans="2:10">
      <c r="B49" s="1475" t="s">
        <v>244</v>
      </c>
      <c r="C49" s="1523">
        <f>SUM('FBPQ NL1'!D10:M16)</f>
        <v>131.19347916028394</v>
      </c>
      <c r="E49" s="1475" t="s">
        <v>244</v>
      </c>
      <c r="F49" s="1508">
        <f>SUM('NL9 - Legal &amp; Safety'!D33:M33,'NL9 - Legal &amp; Safety'!D42:M42)</f>
        <v>0</v>
      </c>
      <c r="H49" s="1475" t="s">
        <v>244</v>
      </c>
      <c r="I49" s="1508">
        <f>F49+C49</f>
        <v>131.19347916028394</v>
      </c>
      <c r="J49" s="1524">
        <f>I49/SUM($I$49:$I$53)</f>
        <v>0.22402177252729952</v>
      </c>
    </row>
    <row r="50" spans="2:10">
      <c r="B50" s="1475" t="s">
        <v>550</v>
      </c>
      <c r="C50" s="1523">
        <f>SUM('FBPQ NL1'!D21:M22)</f>
        <v>47.93294401383416</v>
      </c>
      <c r="D50" s="1525" t="s">
        <v>862</v>
      </c>
      <c r="E50" s="1090" t="s">
        <v>550</v>
      </c>
      <c r="F50" s="1508">
        <f>SUM('NL9 - Legal &amp; Safety'!D34:M34,'NL9 - Legal &amp; Safety'!D43:M43)*C55</f>
        <v>0</v>
      </c>
      <c r="H50" s="1475" t="s">
        <v>550</v>
      </c>
      <c r="I50" s="1508">
        <f>F50+C50</f>
        <v>47.93294401383416</v>
      </c>
      <c r="J50" s="1524">
        <f>I50/SUM($I$49:$I$53)</f>
        <v>8.1848756120812202E-2</v>
      </c>
    </row>
    <row r="51" spans="2:10">
      <c r="B51" s="1090" t="s">
        <v>245</v>
      </c>
      <c r="C51" s="1523">
        <f>SUM('FBPQ NL1'!D17:M20)</f>
        <v>154.26502648185473</v>
      </c>
      <c r="E51" s="1475" t="s">
        <v>245</v>
      </c>
      <c r="F51" s="1508">
        <f>SUM('NL9 - Legal &amp; Safety'!D34:M34,'NL9 - Legal &amp; Safety'!D43:M43)*(1-C55)</f>
        <v>0</v>
      </c>
      <c r="H51" s="1475" t="s">
        <v>245</v>
      </c>
      <c r="I51" s="1508">
        <f>F51+C51</f>
        <v>154.26502648185473</v>
      </c>
      <c r="J51" s="1524">
        <f>I51/SUM($I$49:$I$53)</f>
        <v>0.2634180059301135</v>
      </c>
    </row>
    <row r="52" spans="2:10">
      <c r="B52" s="1475" t="s">
        <v>427</v>
      </c>
      <c r="C52" s="1523">
        <f>SUM('FBPQ NL1'!D23:M28)</f>
        <v>101.86165514676397</v>
      </c>
      <c r="E52" s="1475" t="s">
        <v>427</v>
      </c>
      <c r="F52" s="1508">
        <f>SUM('NL9 - Legal &amp; Safety'!D35:M35,'NL9 - Legal &amp; Safety'!D44:M44)</f>
        <v>0</v>
      </c>
      <c r="H52" s="1475" t="s">
        <v>427</v>
      </c>
      <c r="I52" s="1508">
        <f>F52+C52</f>
        <v>101.86165514676397</v>
      </c>
      <c r="J52" s="1524">
        <f>I52/SUM($I$49:$I$53)</f>
        <v>0.17393569165631689</v>
      </c>
    </row>
    <row r="53" spans="2:10">
      <c r="B53" s="1480" t="s">
        <v>506</v>
      </c>
      <c r="C53" s="404">
        <f>SUM('FBPQ NL1'!D29:M34)</f>
        <v>150.37514766677072</v>
      </c>
      <c r="E53" s="1480" t="s">
        <v>506</v>
      </c>
      <c r="F53" s="1520">
        <f>SUM('NL9 - Legal &amp; Safety'!D36:M36,'NL9 - Legal &amp; Safety'!D45:M45)</f>
        <v>0</v>
      </c>
      <c r="H53" s="1480" t="s">
        <v>506</v>
      </c>
      <c r="I53" s="1520">
        <f>F53+C53</f>
        <v>150.37514766677072</v>
      </c>
      <c r="J53" s="1524">
        <f>I53/SUM($I$49:$I$53)</f>
        <v>0.2567757737654579</v>
      </c>
    </row>
    <row r="55" spans="2:10">
      <c r="B55" s="1525" t="s">
        <v>863</v>
      </c>
      <c r="C55" s="1526">
        <f>C50/C51</f>
        <v>0.31071815243536244</v>
      </c>
    </row>
    <row r="58" spans="2:10">
      <c r="B58" s="442"/>
      <c r="C58" s="442"/>
    </row>
    <row r="59" spans="2:10" ht="18">
      <c r="B59" s="1527" t="s">
        <v>1015</v>
      </c>
      <c r="C59" s="442"/>
    </row>
    <row r="60" spans="2:10">
      <c r="B60" s="442"/>
      <c r="C60" s="442"/>
    </row>
    <row r="61" spans="2:10">
      <c r="B61" s="1126" t="s">
        <v>864</v>
      </c>
      <c r="C61" s="442"/>
    </row>
    <row r="62" spans="2:10">
      <c r="B62" s="1134" t="s">
        <v>865</v>
      </c>
      <c r="C62" s="442"/>
    </row>
    <row r="63" spans="2:10">
      <c r="B63" s="2175" t="s">
        <v>849</v>
      </c>
      <c r="C63" s="2177"/>
    </row>
    <row r="64" spans="2:10">
      <c r="B64" s="2183" t="s">
        <v>866</v>
      </c>
      <c r="C64" s="2184"/>
    </row>
    <row r="65" spans="2:3">
      <c r="B65" s="1528"/>
      <c r="C65" s="1529"/>
    </row>
    <row r="66" spans="2:3">
      <c r="B66" s="1530" t="s">
        <v>244</v>
      </c>
      <c r="C66" s="1531">
        <f>SUM('FBPQ LR1 - V5 opt3'!D227:M227,'FBPQ LR1 - V5 opt3'!I229:M229)-SUM('FBPQ LR1 - V5 opt3'!D250:M250,'FBPQ LR1 - V5 opt3'!I252:M252)</f>
        <v>0</v>
      </c>
    </row>
    <row r="67" spans="2:3">
      <c r="B67" s="1530" t="s">
        <v>245</v>
      </c>
      <c r="C67" s="1531">
        <f>(SUM('FBPQ LR1 - V5 opt3'!D231:H231,'FBPQ LR1 - V5 opt3'!I230:M230,'FBPQ LR1 - V5 opt3'!I233:M233)-SUM('FBPQ LR1 - V5 opt3'!D254:H254,'FBPQ LR1 - V5 opt3'!I253:M253,'FBPQ LR1 - V5 opt3'!I256:M256))</f>
        <v>0</v>
      </c>
    </row>
    <row r="68" spans="2:3">
      <c r="B68" s="1530" t="s">
        <v>427</v>
      </c>
      <c r="C68" s="1531">
        <f>SUM('FBPQ LR1 - V5 opt3'!D235:H235,'FBPQ LR1 - V5 opt3'!I234:M234,'FBPQ LR1 - V5 opt3'!I237:M237)-SUM('FBPQ LR1 - V5 opt3'!D258:H258,'FBPQ LR1 - V5 opt3'!I257:M257,'FBPQ LR1 - V5 opt3'!I260:M260)</f>
        <v>0</v>
      </c>
    </row>
    <row r="69" spans="2:3">
      <c r="B69" s="1532" t="s">
        <v>506</v>
      </c>
      <c r="C69" s="1533">
        <f>SUM('FBPQ LR1 - V5 opt3'!D239:H239,'FBPQ LR1 - V5 opt3'!I238:M238)-SUM('FBPQ LR1 - V5 opt3'!D262:H262,'FBPQ LR1 - V5 opt3'!I261:M261)</f>
        <v>0</v>
      </c>
    </row>
    <row r="70" spans="2:3">
      <c r="B70" s="442"/>
      <c r="C70" s="442"/>
    </row>
    <row r="71" spans="2:3">
      <c r="B71" s="1134" t="s">
        <v>867</v>
      </c>
      <c r="C71" s="442"/>
    </row>
    <row r="72" spans="2:3">
      <c r="B72" s="2175" t="s">
        <v>849</v>
      </c>
      <c r="C72" s="2177"/>
    </row>
    <row r="73" spans="2:3">
      <c r="B73" s="2183" t="s">
        <v>866</v>
      </c>
      <c r="C73" s="2184"/>
    </row>
    <row r="74" spans="2:3">
      <c r="B74" s="1528"/>
      <c r="C74" s="1529"/>
    </row>
    <row r="75" spans="2:3">
      <c r="B75" s="1530" t="s">
        <v>244</v>
      </c>
      <c r="C75" s="1531">
        <f>SUM('FBPQ LR1 - V5 opt3'!D227:M227,'FBPQ LR1 - V5 opt3'!I229:M229)-SUM('FBPQ LR1 - V5 opt3'!D250:M250,'FBPQ LR1 - V5 opt3'!I252:M252)</f>
        <v>0</v>
      </c>
    </row>
    <row r="76" spans="2:3">
      <c r="B76" s="1530" t="s">
        <v>550</v>
      </c>
      <c r="C76" s="1531">
        <f>(SUM('FBPQ LR1 - V5 opt3'!D231:H231,'FBPQ LR1 - V5 opt3'!I230:M230,'FBPQ LR1 - V5 opt3'!I233:M233)-SUM('FBPQ LR1 - V5 opt3'!D254:H254,'FBPQ LR1 - V5 opt3'!I253:M253,'FBPQ LR1 - V5 opt3'!I256:M256))*(C110)</f>
        <v>0</v>
      </c>
    </row>
    <row r="77" spans="2:3">
      <c r="B77" s="1530" t="s">
        <v>245</v>
      </c>
      <c r="C77" s="1531">
        <f>(SUM('FBPQ LR1 - V5 opt3'!D231:H231,'FBPQ LR1 - V5 opt3'!I230:M230,'FBPQ LR1 - V5 opt3'!I233:M233)-SUM('FBPQ LR1 - V5 opt3'!D254:H254,'FBPQ LR1 - V5 opt3'!I253:M253,'FBPQ LR1 - V5 opt3'!I256:M256))*(1-C110)</f>
        <v>0</v>
      </c>
    </row>
    <row r="78" spans="2:3">
      <c r="B78" s="1530" t="s">
        <v>427</v>
      </c>
      <c r="C78" s="1531">
        <f>SUM('FBPQ LR1 - V5 opt3'!D235:H235,'FBPQ LR1 - V5 opt3'!I234:M234,'FBPQ LR1 - V5 opt3'!I237:M237)-SUM('FBPQ LR1 - V5 opt3'!D258:H258,'FBPQ LR1 - V5 opt3'!I257:M257,'FBPQ LR1 - V5 opt3'!I260:M260)</f>
        <v>0</v>
      </c>
    </row>
    <row r="79" spans="2:3">
      <c r="B79" s="1532" t="s">
        <v>506</v>
      </c>
      <c r="C79" s="1533">
        <f>SUM('FBPQ LR1 - V5 opt3'!D239:H239,'FBPQ LR1 - V5 opt3'!I238:M238)-SUM('FBPQ LR1 - V5 opt3'!D262:H262,'FBPQ LR1 - V5 opt3'!I261:M261)</f>
        <v>0</v>
      </c>
    </row>
    <row r="80" spans="2:3">
      <c r="B80" s="442"/>
      <c r="C80" s="442"/>
    </row>
    <row r="81" spans="2:3">
      <c r="B81" s="442"/>
      <c r="C81" s="442"/>
    </row>
    <row r="82" spans="2:3">
      <c r="B82" s="1126" t="s">
        <v>868</v>
      </c>
      <c r="C82" s="442"/>
    </row>
    <row r="83" spans="2:3">
      <c r="B83" s="1134" t="s">
        <v>865</v>
      </c>
      <c r="C83" s="442"/>
    </row>
    <row r="84" spans="2:3">
      <c r="B84" s="2175" t="s">
        <v>849</v>
      </c>
      <c r="C84" s="2177"/>
    </row>
    <row r="85" spans="2:3">
      <c r="B85" s="2183" t="s">
        <v>866</v>
      </c>
      <c r="C85" s="2184"/>
    </row>
    <row r="86" spans="2:3">
      <c r="B86" s="1528"/>
      <c r="C86" s="1534"/>
    </row>
    <row r="87" spans="2:3">
      <c r="B87" s="1530" t="s">
        <v>244</v>
      </c>
      <c r="C87" s="1535">
        <f>SUM('FBPQ LR1'!D82:M82)-SUM('FBPQ LR1'!D110:M110)</f>
        <v>53.683413478638073</v>
      </c>
    </row>
    <row r="88" spans="2:3">
      <c r="B88" s="1530" t="s">
        <v>245</v>
      </c>
      <c r="C88" s="1535">
        <f>(SUM('FBPQ LR1'!D86:M86)-SUM('FBPQ LR1'!D114:M114))</f>
        <v>15.346009876149125</v>
      </c>
    </row>
    <row r="89" spans="2:3">
      <c r="B89" s="1530" t="s">
        <v>427</v>
      </c>
      <c r="C89" s="1535">
        <f>(SUM('FBPQ LR1'!D90:M90)-SUM('FBPQ LR1'!D118:M118))</f>
        <v>2.2688379914661976</v>
      </c>
    </row>
    <row r="90" spans="2:3">
      <c r="B90" s="1532" t="s">
        <v>506</v>
      </c>
      <c r="C90" s="1536">
        <f>(SUM('FBPQ LR1'!D94:M94)-SUM('FBPQ LR1'!D122:M122))</f>
        <v>2.8453715054258241E-2</v>
      </c>
    </row>
    <row r="91" spans="2:3">
      <c r="B91" s="442"/>
      <c r="C91" s="1537"/>
    </row>
    <row r="92" spans="2:3">
      <c r="B92" s="1134" t="s">
        <v>867</v>
      </c>
      <c r="C92" s="442"/>
    </row>
    <row r="93" spans="2:3">
      <c r="B93" s="2175" t="s">
        <v>849</v>
      </c>
      <c r="C93" s="2177"/>
    </row>
    <row r="94" spans="2:3">
      <c r="B94" s="2183" t="s">
        <v>866</v>
      </c>
      <c r="C94" s="2184"/>
    </row>
    <row r="95" spans="2:3">
      <c r="B95" s="1528"/>
      <c r="C95" s="1534"/>
    </row>
    <row r="96" spans="2:3">
      <c r="B96" s="1530" t="s">
        <v>244</v>
      </c>
      <c r="C96" s="1535">
        <f>SUM('FBPQ LR1'!D82:M82)-SUM('FBPQ LR1'!D110:M110)</f>
        <v>53.683413478638073</v>
      </c>
    </row>
    <row r="97" spans="2:3">
      <c r="B97" s="1530" t="s">
        <v>550</v>
      </c>
      <c r="C97" s="1535">
        <f>(SUM('FBPQ LR1'!D86:M86)-SUM('FBPQ LR1'!D114:M114))*C110</f>
        <v>4.7682838359718813</v>
      </c>
    </row>
    <row r="98" spans="2:3">
      <c r="B98" s="1530" t="s">
        <v>245</v>
      </c>
      <c r="C98" s="1535">
        <f>(SUM('FBPQ LR1'!D86:M86)-SUM('FBPQ LR1'!D114:M114))*(1-C110)</f>
        <v>10.577726040177245</v>
      </c>
    </row>
    <row r="99" spans="2:3">
      <c r="B99" s="1530" t="s">
        <v>427</v>
      </c>
      <c r="C99" s="1535">
        <f>(SUM('FBPQ LR1'!D90:M90)-SUM('FBPQ LR1'!D118:M118))</f>
        <v>2.2688379914661976</v>
      </c>
    </row>
    <row r="100" spans="2:3">
      <c r="B100" s="1532" t="s">
        <v>506</v>
      </c>
      <c r="C100" s="1536">
        <f>(SUM('FBPQ LR1'!D94:M94)-SUM('FBPQ LR1'!D122:M122))</f>
        <v>2.8453715054258241E-2</v>
      </c>
    </row>
    <row r="101" spans="2:3">
      <c r="B101" s="442"/>
      <c r="C101" s="1537"/>
    </row>
    <row r="102" spans="2:3">
      <c r="B102" s="442"/>
      <c r="C102" s="1537"/>
    </row>
    <row r="103" spans="2:3">
      <c r="B103" s="442"/>
      <c r="C103" s="1537"/>
    </row>
    <row r="104" spans="2:3">
      <c r="B104" s="442"/>
      <c r="C104" s="1537"/>
    </row>
    <row r="105" spans="2:3">
      <c r="B105" s="442"/>
      <c r="C105" s="1537"/>
    </row>
    <row r="106" spans="2:3">
      <c r="B106" s="442"/>
      <c r="C106" s="1537"/>
    </row>
    <row r="107" spans="2:3">
      <c r="B107" s="442"/>
      <c r="C107" s="1537"/>
    </row>
    <row r="108" spans="2:3">
      <c r="B108" s="442"/>
      <c r="C108" s="1537"/>
    </row>
    <row r="109" spans="2:3">
      <c r="B109" s="442"/>
      <c r="C109" s="1537"/>
    </row>
    <row r="110" spans="2:3">
      <c r="B110" s="1538"/>
      <c r="C110" s="1539">
        <f>C50/C51</f>
        <v>0.31071815243536244</v>
      </c>
    </row>
    <row r="111" spans="2:3">
      <c r="B111" s="442"/>
      <c r="C111" s="1537"/>
    </row>
  </sheetData>
  <sheetProtection sheet="1" objects="1" scenarios="1"/>
  <mergeCells count="36">
    <mergeCell ref="B85:C85"/>
    <mergeCell ref="B93:C93"/>
    <mergeCell ref="B94:C94"/>
    <mergeCell ref="B63:C63"/>
    <mergeCell ref="B64:C64"/>
    <mergeCell ref="B72:C72"/>
    <mergeCell ref="B73:C73"/>
    <mergeCell ref="B84:C84"/>
    <mergeCell ref="F3:H3"/>
    <mergeCell ref="J3:L3"/>
    <mergeCell ref="N3:P3"/>
    <mergeCell ref="J4:L4"/>
    <mergeCell ref="N4:P4"/>
    <mergeCell ref="F4:H4"/>
    <mergeCell ref="B16:C16"/>
    <mergeCell ref="E16:F16"/>
    <mergeCell ref="H16:I16"/>
    <mergeCell ref="B17:C17"/>
    <mergeCell ref="E17:F17"/>
    <mergeCell ref="H17:I17"/>
    <mergeCell ref="B25:C25"/>
    <mergeCell ref="E25:F25"/>
    <mergeCell ref="B26:C26"/>
    <mergeCell ref="E26:F26"/>
    <mergeCell ref="B36:C36"/>
    <mergeCell ref="E36:F36"/>
    <mergeCell ref="H47:I47"/>
    <mergeCell ref="B47:C47"/>
    <mergeCell ref="E47:F47"/>
    <mergeCell ref="H36:I36"/>
    <mergeCell ref="B37:C37"/>
    <mergeCell ref="E37:F37"/>
    <mergeCell ref="H37:I37"/>
    <mergeCell ref="B46:C46"/>
    <mergeCell ref="E46:F46"/>
    <mergeCell ref="H46:I46"/>
  </mergeCells>
  <phoneticPr fontId="2" type="noConversion"/>
  <pageMargins left="0.75" right="0.75" top="1" bottom="1" header="0.5" footer="0.5"/>
  <pageSetup paperSize="9" scale="4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C4"/>
    <pageSetUpPr fitToPage="1"/>
  </sheetPr>
  <dimension ref="A1:BD63"/>
  <sheetViews>
    <sheetView showGridLines="0" zoomScale="80" zoomScaleNormal="80" workbookViewId="0">
      <selection activeCell="V47" sqref="V47"/>
    </sheetView>
  </sheetViews>
  <sheetFormatPr defaultColWidth="8.85546875" defaultRowHeight="12.75"/>
  <cols>
    <col min="1" max="1" width="12.42578125" style="1540" customWidth="1"/>
    <col min="2" max="2" width="10.140625" style="1540" customWidth="1"/>
    <col min="3" max="3" width="58" style="1540" bestFit="1" customWidth="1"/>
    <col min="4" max="4" width="14.85546875" style="1540" bestFit="1" customWidth="1"/>
    <col min="5" max="6" width="7.7109375" style="1540" bestFit="1" customWidth="1"/>
    <col min="7" max="7" width="7.7109375" style="1540" customWidth="1"/>
    <col min="8" max="8" width="6.42578125" style="1540" bestFit="1" customWidth="1"/>
    <col min="9" max="9" width="11.85546875" style="1540" customWidth="1"/>
    <col min="10" max="10" width="7.7109375" style="1540" customWidth="1"/>
    <col min="11" max="11" width="20.42578125" style="1540" bestFit="1" customWidth="1"/>
    <col min="12" max="16" width="8.42578125" style="1540" customWidth="1"/>
    <col min="17" max="17" width="5.140625" style="1540" customWidth="1"/>
    <col min="18" max="18" width="8" style="1540" customWidth="1"/>
    <col min="19" max="23" width="8.140625" style="1540" customWidth="1"/>
    <col min="24" max="24" width="4.85546875" style="1540" customWidth="1"/>
    <col min="25" max="25" width="24.28515625" style="1540" customWidth="1"/>
    <col min="26" max="31" width="10.42578125" style="1540" customWidth="1"/>
    <col min="32" max="32" width="23" style="1540" customWidth="1"/>
    <col min="33" max="36" width="12.42578125" style="1540" customWidth="1"/>
    <col min="37" max="37" width="6.85546875" style="1540" customWidth="1"/>
    <col min="38" max="38" width="16.42578125" style="1540" customWidth="1"/>
    <col min="39" max="40" width="8.140625" style="1540" customWidth="1"/>
    <col min="41" max="41" width="4.140625" style="1540" customWidth="1"/>
    <col min="42" max="42" width="23.7109375" style="1540" customWidth="1"/>
    <col min="43" max="43" width="12.140625" style="1540" customWidth="1"/>
    <col min="44" max="44" width="10.85546875" style="1540" customWidth="1"/>
    <col min="45" max="45" width="13.42578125" style="1540" customWidth="1"/>
    <col min="46" max="47" width="9.42578125" style="1540" customWidth="1"/>
    <col min="48" max="48" width="5.42578125" style="1540" customWidth="1"/>
    <col min="49" max="49" width="23.42578125" style="1540" customWidth="1"/>
    <col min="50" max="53" width="8.42578125" style="1540" customWidth="1"/>
    <col min="54" max="54" width="4.28515625" style="1540" customWidth="1"/>
    <col min="55" max="55" width="22.7109375" style="1540" bestFit="1" customWidth="1"/>
    <col min="56" max="56" width="24.140625" style="1540" customWidth="1"/>
    <col min="57" max="16384" width="8.85546875" style="1540"/>
  </cols>
  <sheetData>
    <row r="1" spans="1:56" s="26" customFormat="1" ht="19.5">
      <c r="A1" s="4" t="str">
        <f>"Calc DNO Opex Allocation for Method M ("&amp;'Calc-Net capex'!B5&amp;") for "&amp;Inputs!B6&amp;" in "&amp;Inputs!C6&amp;"  Status: "&amp;Inputs!D6&amp;""</f>
        <v>Calc DNO Opex Allocation for Method M (LR1) for Electricity North West in 2016/17  Status: 2007/08</v>
      </c>
    </row>
    <row r="2" spans="1:56">
      <c r="A2" s="407"/>
    </row>
    <row r="3" spans="1:56" s="1541" customFormat="1" ht="58.5" customHeight="1">
      <c r="D3" s="2194" t="s">
        <v>869</v>
      </c>
      <c r="E3" s="2194"/>
      <c r="F3" s="2194"/>
      <c r="G3" s="2194"/>
      <c r="H3" s="2194"/>
      <c r="I3" s="2194"/>
      <c r="K3" s="2195" t="s">
        <v>870</v>
      </c>
      <c r="L3" s="2195"/>
      <c r="M3" s="2195"/>
      <c r="N3" s="2195"/>
      <c r="O3" s="2195"/>
      <c r="P3" s="2195"/>
      <c r="Q3" s="1542"/>
      <c r="S3" s="2193" t="s">
        <v>871</v>
      </c>
      <c r="T3" s="2193"/>
      <c r="U3" s="2193"/>
      <c r="V3" s="2193"/>
      <c r="W3" s="2193"/>
      <c r="Z3" s="2195" t="s">
        <v>872</v>
      </c>
      <c r="AA3" s="2195"/>
      <c r="AB3" s="2195"/>
      <c r="AC3" s="2195"/>
      <c r="AD3" s="2195"/>
      <c r="AG3" s="2195" t="s">
        <v>873</v>
      </c>
      <c r="AH3" s="2195"/>
      <c r="AI3" s="2195"/>
      <c r="AJ3" s="2195"/>
      <c r="AL3" s="2193" t="s">
        <v>874</v>
      </c>
      <c r="AM3" s="2193"/>
      <c r="AN3" s="2193"/>
      <c r="AO3" s="2193"/>
      <c r="AP3" s="2193"/>
      <c r="AQ3" s="2193"/>
      <c r="AR3" s="2193"/>
      <c r="AS3" s="2193"/>
      <c r="AT3" s="2193"/>
      <c r="AU3" s="2193"/>
      <c r="AV3" s="2193"/>
      <c r="AW3" s="2193"/>
      <c r="AX3" s="2193"/>
      <c r="AY3" s="2193"/>
      <c r="AZ3" s="2193"/>
      <c r="BA3" s="2193"/>
    </row>
    <row r="4" spans="1:56" s="442" customFormat="1" ht="28.5" customHeight="1">
      <c r="A4" s="1543"/>
      <c r="B4" s="1543"/>
      <c r="C4" s="1544"/>
      <c r="D4" s="1545"/>
      <c r="E4" s="2210" t="s">
        <v>875</v>
      </c>
      <c r="F4" s="2211"/>
      <c r="G4" s="2211"/>
      <c r="H4" s="2211"/>
      <c r="I4" s="2212"/>
      <c r="J4" s="1546"/>
      <c r="K4" s="2213" t="s">
        <v>876</v>
      </c>
      <c r="L4" s="2214"/>
      <c r="M4" s="2214"/>
      <c r="N4" s="2214"/>
      <c r="O4" s="2214"/>
      <c r="P4" s="2215"/>
      <c r="Q4" s="1547"/>
      <c r="R4" s="1548"/>
      <c r="S4" s="2196" t="s">
        <v>877</v>
      </c>
      <c r="T4" s="2196"/>
      <c r="U4" s="2196"/>
      <c r="V4" s="2196"/>
      <c r="W4" s="2196"/>
      <c r="X4" s="1547"/>
      <c r="Y4" s="1544"/>
      <c r="Z4" s="2178" t="s">
        <v>878</v>
      </c>
      <c r="AA4" s="2179"/>
      <c r="AB4" s="2179"/>
      <c r="AC4" s="2179"/>
      <c r="AD4" s="2180"/>
      <c r="AE4" s="1549"/>
      <c r="AF4" s="1549"/>
      <c r="AG4" s="2216" t="s">
        <v>879</v>
      </c>
      <c r="AH4" s="2217"/>
      <c r="AI4" s="2217"/>
      <c r="AJ4" s="2217"/>
      <c r="AK4" s="1550"/>
      <c r="AL4" s="2178" t="s">
        <v>880</v>
      </c>
      <c r="AM4" s="2218"/>
      <c r="AN4" s="2219"/>
      <c r="AO4" s="1551"/>
      <c r="AP4" s="1548"/>
      <c r="AQ4" s="2196" t="s">
        <v>881</v>
      </c>
      <c r="AR4" s="2197"/>
      <c r="AS4" s="2197"/>
      <c r="AT4" s="2197"/>
      <c r="AU4" s="2197"/>
      <c r="AV4" s="1552"/>
      <c r="AW4" s="1548"/>
      <c r="AX4" s="2181" t="s">
        <v>882</v>
      </c>
      <c r="AY4" s="2198"/>
      <c r="AZ4" s="2198"/>
      <c r="BA4" s="2182"/>
      <c r="BC4" s="1543"/>
      <c r="BD4" s="1543"/>
    </row>
    <row r="5" spans="1:56" s="1564" customFormat="1" ht="67.5" customHeight="1">
      <c r="A5" s="1553"/>
      <c r="B5" s="1553"/>
      <c r="C5" s="1553"/>
      <c r="D5" s="1554" t="s">
        <v>883</v>
      </c>
      <c r="E5" s="2199" t="s">
        <v>884</v>
      </c>
      <c r="F5" s="2200"/>
      <c r="G5" s="2200"/>
      <c r="H5" s="2200"/>
      <c r="I5" s="1554" t="s">
        <v>885</v>
      </c>
      <c r="J5" s="1553"/>
      <c r="K5" s="1555" t="s">
        <v>886</v>
      </c>
      <c r="L5" s="2201" t="s">
        <v>887</v>
      </c>
      <c r="M5" s="2202"/>
      <c r="N5" s="2202"/>
      <c r="O5" s="2202"/>
      <c r="P5" s="2203"/>
      <c r="Q5" s="1556"/>
      <c r="R5" s="1557"/>
      <c r="S5" s="1558"/>
      <c r="T5" s="1559"/>
      <c r="U5" s="1559"/>
      <c r="V5" s="1559"/>
      <c r="W5" s="1560"/>
      <c r="X5" s="1553"/>
      <c r="Y5" s="1557"/>
      <c r="Z5" s="1558"/>
      <c r="AA5" s="1559"/>
      <c r="AB5" s="1559"/>
      <c r="AC5" s="1559"/>
      <c r="AD5" s="1560"/>
      <c r="AE5" s="1553"/>
      <c r="AF5" s="1557"/>
      <c r="AG5" s="1558"/>
      <c r="AH5" s="1559"/>
      <c r="AI5" s="1559"/>
      <c r="AJ5" s="1560"/>
      <c r="AK5" s="1557"/>
      <c r="AL5" s="1561" t="s">
        <v>888</v>
      </c>
      <c r="AM5" s="1562" t="s">
        <v>889</v>
      </c>
      <c r="AN5" s="1563" t="s">
        <v>890</v>
      </c>
      <c r="AO5" s="1553"/>
      <c r="AP5" s="1553"/>
      <c r="AQ5" s="1554" t="s">
        <v>427</v>
      </c>
      <c r="AR5" s="1554" t="s">
        <v>245</v>
      </c>
      <c r="AS5" s="1554" t="s">
        <v>53</v>
      </c>
      <c r="AT5" s="1554" t="s">
        <v>466</v>
      </c>
      <c r="AU5" s="1554" t="s">
        <v>891</v>
      </c>
      <c r="AV5" s="1557"/>
      <c r="AW5" s="1557"/>
      <c r="AX5" s="1554" t="s">
        <v>427</v>
      </c>
      <c r="AY5" s="1554" t="s">
        <v>245</v>
      </c>
      <c r="AZ5" s="1554" t="s">
        <v>53</v>
      </c>
      <c r="BA5" s="1554" t="s">
        <v>244</v>
      </c>
      <c r="BC5" s="1565"/>
      <c r="BD5" s="1566"/>
    </row>
    <row r="6" spans="1:56" s="1538" customFormat="1" ht="25.5">
      <c r="A6" s="1567"/>
      <c r="B6" s="1568"/>
      <c r="C6" s="1568"/>
      <c r="D6" s="1569"/>
      <c r="E6" s="1569" t="s">
        <v>427</v>
      </c>
      <c r="F6" s="1569" t="s">
        <v>245</v>
      </c>
      <c r="G6" s="1569" t="s">
        <v>53</v>
      </c>
      <c r="H6" s="1569" t="s">
        <v>244</v>
      </c>
      <c r="I6" s="1569"/>
      <c r="J6" s="1568"/>
      <c r="K6" s="1570"/>
      <c r="L6" s="1571" t="s">
        <v>427</v>
      </c>
      <c r="M6" s="1570" t="s">
        <v>245</v>
      </c>
      <c r="N6" s="1570" t="s">
        <v>53</v>
      </c>
      <c r="O6" s="1570" t="s">
        <v>466</v>
      </c>
      <c r="P6" s="1570" t="s">
        <v>891</v>
      </c>
      <c r="Q6" s="1556"/>
      <c r="R6" s="1552"/>
      <c r="S6" s="1569" t="s">
        <v>427</v>
      </c>
      <c r="T6" s="1569" t="s">
        <v>245</v>
      </c>
      <c r="U6" s="1569" t="s">
        <v>53</v>
      </c>
      <c r="V6" s="1569" t="s">
        <v>466</v>
      </c>
      <c r="W6" s="1569" t="s">
        <v>891</v>
      </c>
      <c r="X6" s="1552"/>
      <c r="Y6" s="1552"/>
      <c r="Z6" s="1569" t="s">
        <v>427</v>
      </c>
      <c r="AA6" s="1569" t="s">
        <v>245</v>
      </c>
      <c r="AB6" s="1569" t="s">
        <v>53</v>
      </c>
      <c r="AC6" s="1569" t="s">
        <v>466</v>
      </c>
      <c r="AD6" s="1569" t="s">
        <v>891</v>
      </c>
      <c r="AE6" s="1552"/>
      <c r="AF6" s="1552"/>
      <c r="AG6" s="1569" t="s">
        <v>427</v>
      </c>
      <c r="AH6" s="1569" t="s">
        <v>245</v>
      </c>
      <c r="AI6" s="1569" t="s">
        <v>53</v>
      </c>
      <c r="AJ6" s="1569" t="s">
        <v>466</v>
      </c>
      <c r="AK6" s="1552"/>
      <c r="AL6" s="1572"/>
      <c r="AM6" s="1569"/>
      <c r="AN6" s="1573"/>
      <c r="AO6" s="1568"/>
      <c r="AP6" s="1568"/>
      <c r="AQ6" s="1569"/>
      <c r="AR6" s="1569"/>
      <c r="AS6" s="1569"/>
      <c r="AT6" s="1569"/>
      <c r="AU6" s="1569"/>
      <c r="AV6" s="1552"/>
      <c r="AW6" s="1552"/>
      <c r="AX6" s="1569"/>
      <c r="AY6" s="1569"/>
      <c r="AZ6" s="1569"/>
      <c r="BA6" s="1569"/>
      <c r="BC6" s="1574"/>
      <c r="BD6" s="1575"/>
    </row>
    <row r="7" spans="1:56" s="1494" customFormat="1" ht="12.75" customHeight="1">
      <c r="A7" s="2204" t="s">
        <v>553</v>
      </c>
      <c r="B7" s="2207" t="s">
        <v>892</v>
      </c>
      <c r="C7" s="1576" t="s">
        <v>570</v>
      </c>
      <c r="D7" s="1555"/>
      <c r="E7" s="1555">
        <f>MAX(0,'Calc-Net capex'!C21+'Calc-Net capex'!C22)/10+'RRP 2.4'!L18+'RRP 2.4'!L19</f>
        <v>23.665150708784964</v>
      </c>
      <c r="F7" s="1555">
        <f>MAX(0,'Calc-Net capex'!C20)/10+'RRP 2.4'!L17</f>
        <v>5.2001040148030606</v>
      </c>
      <c r="G7" s="1555"/>
      <c r="H7" s="1555">
        <f>MAX(0,'Calc-Net capex'!C19)/10+'RRP 2.4'!L16</f>
        <v>5.592992279215375</v>
      </c>
      <c r="I7" s="1555">
        <v>0</v>
      </c>
      <c r="J7" s="1556"/>
      <c r="K7" s="1555" t="s">
        <v>893</v>
      </c>
      <c r="L7" s="1577">
        <f>IF(ISERROR(VLOOKUP($K7,'Calc-Drivers'!$B$17:$G$27,L$43,FALSE))," ",VLOOKUP($K7,'Calc-Drivers'!$B$17:$G$27,L$43,FALSE))</f>
        <v>0.28175718819621531</v>
      </c>
      <c r="M7" s="1577">
        <f>IF(ISERROR(VLOOKUP($K7,'Calc-Drivers'!$B$17:$G$27,M$43,FALSE))," ",VLOOKUP($K7,'Calc-Drivers'!$B$17:$G$27,M$43,FALSE))</f>
        <v>0.20497484976598029</v>
      </c>
      <c r="N7" s="1577">
        <f>IF(ISERROR(VLOOKUP($K7,'Calc-Drivers'!$B$17:$G$27,N$43,FALSE))," ",VLOOKUP($K7,'Calc-Drivers'!$B$17:$G$27,N$43,FALSE))</f>
        <v>5.7624656431026856E-2</v>
      </c>
      <c r="O7" s="1577">
        <f>IF(ISERROR(VLOOKUP($K7,'Calc-Drivers'!$B$17:$G$27,O$43,FALSE))," ",VLOOKUP($K7,'Calc-Drivers'!$B$17:$G$27,O$43,FALSE))</f>
        <v>0.24123166274252686</v>
      </c>
      <c r="P7" s="1577">
        <f>IF(ISERROR(VLOOKUP($K7,'Calc-Drivers'!$B$17:$G$27,P$43,FALSE))," ",VLOOKUP($K7,'Calc-Drivers'!$B$17:$G$27,P$43,FALSE))</f>
        <v>0.21441164286425066</v>
      </c>
      <c r="Q7" s="1578"/>
      <c r="R7" s="1579"/>
      <c r="S7" s="1580">
        <f t="shared" ref="S7:W7" si="0">IF(ISERROR($I7*L7)," ",$I7*L7)</f>
        <v>0</v>
      </c>
      <c r="T7" s="1580">
        <f t="shared" si="0"/>
        <v>0</v>
      </c>
      <c r="U7" s="1580">
        <f t="shared" si="0"/>
        <v>0</v>
      </c>
      <c r="V7" s="1581">
        <f t="shared" si="0"/>
        <v>0</v>
      </c>
      <c r="W7" s="1581">
        <f t="shared" si="0"/>
        <v>0</v>
      </c>
      <c r="X7" s="1582"/>
      <c r="Y7" s="375"/>
      <c r="Z7" s="1583">
        <f t="shared" ref="Z7:AB7" si="1">IF($K7="Do not allocate"," ",S7+E7)</f>
        <v>23.665150708784964</v>
      </c>
      <c r="AA7" s="1583">
        <f t="shared" si="1"/>
        <v>5.2001040148030606</v>
      </c>
      <c r="AB7" s="1583">
        <f t="shared" si="1"/>
        <v>0</v>
      </c>
      <c r="AC7" s="1584">
        <f t="shared" ref="AC7:AD7" si="2">IF($K7="Do not allocate"," ",($H7*O7/($O7+$P7)+V7))</f>
        <v>2.9611031493692397</v>
      </c>
      <c r="AD7" s="1585">
        <f t="shared" si="2"/>
        <v>2.6318891298461353</v>
      </c>
      <c r="AE7" s="1582"/>
      <c r="AF7" s="1582"/>
      <c r="AG7" s="1586">
        <f>IF(ISERROR(Z7*100000000/'Calc-Units'!$E$23)," ",Z7*100000000/'Calc-Units'!$E$23)</f>
        <v>9.3414273518894933E-2</v>
      </c>
      <c r="AH7" s="1586">
        <f>IF(ISERROR(AA7*100000000/'Calc-Units'!$D$23)," ",AA7*100000000/'Calc-Units'!$D$23)</f>
        <v>2.1691754026598113E-2</v>
      </c>
      <c r="AI7" s="1586">
        <f>IF(ISERROR(AB7*100000000/'Calc-Units'!$C$23)," ",AB7*100000000/'Calc-Units'!$C$23)</f>
        <v>0</v>
      </c>
      <c r="AJ7" s="1587">
        <f>IF(ISERROR(AC7*100000000/'Calc-Units'!$C$23)," ",AC7*100000000/'Calc-Units'!$C$23)</f>
        <v>1.7429839536687562E-2</v>
      </c>
      <c r="AK7" s="1588"/>
      <c r="AL7" s="1589">
        <v>1</v>
      </c>
      <c r="AM7" s="1590">
        <f t="shared" ref="AM7" si="3">AL7*D7</f>
        <v>0</v>
      </c>
      <c r="AN7" s="1591">
        <f t="shared" ref="AN7" si="4">D7*(1-AL7)</f>
        <v>0</v>
      </c>
      <c r="AO7" s="1556"/>
      <c r="AP7" s="1556"/>
      <c r="AQ7" s="1583">
        <f>IF(ISERROR(Z7*(1-$AL7))," ",Z7*(1-$AL7))</f>
        <v>0</v>
      </c>
      <c r="AR7" s="1583">
        <f>IF(ISERROR(AA7*(1-$AL7))," ",AA7*(1-$AL7))</f>
        <v>0</v>
      </c>
      <c r="AS7" s="1583">
        <f>IF(ISERROR(AB7*(1-$AL7))," ",AB7*(1-$AL7))</f>
        <v>0</v>
      </c>
      <c r="AT7" s="1585">
        <f>IF(ISERROR(AC7*(1-$AL7))," ",AC7*(1-$AL7))</f>
        <v>0</v>
      </c>
      <c r="AU7" s="1585">
        <f>IF(ISERROR(AD7*(1-$AL7))," ",AD7*(1-$AL7))</f>
        <v>0</v>
      </c>
      <c r="AV7" s="1582"/>
      <c r="AW7" s="1588"/>
      <c r="AX7" s="1592">
        <f>IF(ISERROR(AQ7*100000000/'Calc-Units'!$E$23)," ",AQ7*100000000/'Calc-Units'!$E$23)</f>
        <v>0</v>
      </c>
      <c r="AY7" s="1592">
        <f>IF(ISERROR(AR7*100000000/'Calc-Units'!$D$23)," ",AR7*100000000/'Calc-Units'!$D$23)</f>
        <v>0</v>
      </c>
      <c r="AZ7" s="1592">
        <f>IF(ISERROR(AS7*100000000/'Calc-Units'!$C$23)," ",AS7*100000000/'Calc-Units'!$C$23)</f>
        <v>0</v>
      </c>
      <c r="BA7" s="1593">
        <f>IF(ISERROR(AT7*100000000/'Calc-Units'!$C$23)," ",AT7*100000000/'Calc-Units'!$C$23)</f>
        <v>0</v>
      </c>
      <c r="BC7" s="1594"/>
      <c r="BD7" s="375"/>
    </row>
    <row r="8" spans="1:56" s="1494" customFormat="1" ht="12.75" customHeight="1">
      <c r="A8" s="2205"/>
      <c r="B8" s="2208"/>
      <c r="C8" s="1595" t="s">
        <v>571</v>
      </c>
      <c r="D8" s="1590">
        <f>'RRP 1.3'!E$12</f>
        <v>63.506587812839619</v>
      </c>
      <c r="E8" s="1596">
        <f>SUM('RRP 2.4'!G44:G55)+'RRP 2.4'!G71+'RRP 2.4'!H71</f>
        <v>28.810162406098534</v>
      </c>
      <c r="F8" s="1590">
        <f>SUM('RRP 2.4'!G38:G40)+'RRP 2.4'!F71</f>
        <v>11.157007746363259</v>
      </c>
      <c r="G8" s="1590">
        <f>'RRP 2.4'!G41+'RRP 2.4'!G42+'RRP 2.4'!G43</f>
        <v>9.6851216069542616</v>
      </c>
      <c r="H8" s="1590">
        <f>SUM('RRP 2.4'!G31:G37)+'RRP 2.4'!E71</f>
        <v>15.938388590066296</v>
      </c>
      <c r="I8" s="1590">
        <f t="shared" ref="I8:I40" si="5">D8-E8-F8-G8-H8</f>
        <v>-2.0840925366427321</v>
      </c>
      <c r="J8" s="1556"/>
      <c r="K8" s="1590" t="s">
        <v>893</v>
      </c>
      <c r="L8" s="1597">
        <f>IF(ISERROR(VLOOKUP($K8,'Calc-Drivers'!$B$17:$G$27,L$43,FALSE))," ",VLOOKUP($K8,'Calc-Drivers'!$B$17:$G$27,L$43,FALSE))</f>
        <v>0.28175718819621531</v>
      </c>
      <c r="M8" s="1597">
        <f>IF(ISERROR(VLOOKUP($K8,'Calc-Drivers'!$B$17:$G$27,M$43,FALSE))," ",VLOOKUP($K8,'Calc-Drivers'!$B$17:$G$27,M$43,FALSE))</f>
        <v>0.20497484976598029</v>
      </c>
      <c r="N8" s="1597">
        <f>IF(ISERROR(VLOOKUP($K8,'Calc-Drivers'!$B$17:$G$27,N$43,FALSE))," ",VLOOKUP($K8,'Calc-Drivers'!$B$17:$G$27,N$43,FALSE))</f>
        <v>5.7624656431026856E-2</v>
      </c>
      <c r="O8" s="1597">
        <f>IF(ISERROR(VLOOKUP($K8,'Calc-Drivers'!$B$17:$G$27,O$43,FALSE))," ",VLOOKUP($K8,'Calc-Drivers'!$B$17:$G$27,O$43,FALSE))</f>
        <v>0.24123166274252686</v>
      </c>
      <c r="P8" s="1597">
        <f>IF(ISERROR(VLOOKUP($K8,'Calc-Drivers'!$B$17:$G$27,P$43,FALSE))," ",VLOOKUP($K8,'Calc-Drivers'!$B$17:$G$27,P$43,FALSE))</f>
        <v>0.21441164286425066</v>
      </c>
      <c r="Q8" s="1578"/>
      <c r="R8" s="1579"/>
      <c r="S8" s="1583">
        <f t="shared" ref="S8:W39" si="6">IF(ISERROR($I8*L8)," ",$I8*L8)</f>
        <v>-0.58720805306517398</v>
      </c>
      <c r="T8" s="1583">
        <f t="shared" si="6"/>
        <v>-0.42718655459674482</v>
      </c>
      <c r="U8" s="1583">
        <f t="shared" si="6"/>
        <v>-0.12009511639450468</v>
      </c>
      <c r="V8" s="1585">
        <f t="shared" si="6"/>
        <v>-0.50274910792361682</v>
      </c>
      <c r="W8" s="1585">
        <f t="shared" si="6"/>
        <v>-0.4468537046626917</v>
      </c>
      <c r="X8" s="1582"/>
      <c r="Y8" s="375"/>
      <c r="Z8" s="1583">
        <f t="shared" ref="Z8:AB39" si="7">IF($K8="Do not allocate"," ",S8+E8)</f>
        <v>28.222954353033359</v>
      </c>
      <c r="AA8" s="1583">
        <f t="shared" si="7"/>
        <v>10.729821191766515</v>
      </c>
      <c r="AB8" s="1583">
        <f t="shared" si="7"/>
        <v>9.5650264905597577</v>
      </c>
      <c r="AC8" s="1585">
        <f t="shared" ref="AC8:AD39" si="8">IF($K8="Do not allocate"," ",($H8*O8/($O8+$P8)+V8))</f>
        <v>7.9355269156822938</v>
      </c>
      <c r="AD8" s="1585">
        <f t="shared" si="8"/>
        <v>7.053258861797695</v>
      </c>
      <c r="AE8" s="1582"/>
      <c r="AF8" s="1582"/>
      <c r="AG8" s="1586">
        <f>IF(ISERROR(Z8*100000000/'Calc-Units'!$E$23)," ",Z8*100000000/'Calc-Units'!$E$23)</f>
        <v>0.11140545056688997</v>
      </c>
      <c r="AH8" s="1586">
        <f>IF(ISERROR(AA8*100000000/'Calc-Units'!$D$23)," ",AA8*100000000/'Calc-Units'!$D$23)</f>
        <v>4.4758458942093633E-2</v>
      </c>
      <c r="AI8" s="1586">
        <f>IF(ISERROR(AB8*100000000/'Calc-Units'!$C$23)," ",AB8*100000000/'Calc-Units'!$C$23)</f>
        <v>5.6302286169982153E-2</v>
      </c>
      <c r="AJ8" s="1587">
        <f>IF(ISERROR(AC8*100000000/'Calc-Units'!$C$23)," ",AC8*100000000/'Calc-Units'!$C$23)</f>
        <v>4.6710618915410208E-2</v>
      </c>
      <c r="AK8" s="1588"/>
      <c r="AL8" s="1589">
        <v>1</v>
      </c>
      <c r="AM8" s="1590">
        <f t="shared" ref="AM8:AM39" si="9">AL8*D8</f>
        <v>63.506587812839619</v>
      </c>
      <c r="AN8" s="1591">
        <f t="shared" ref="AN8:AN39" si="10">D8*(1-AL8)</f>
        <v>0</v>
      </c>
      <c r="AO8" s="1556"/>
      <c r="AP8" s="1556"/>
      <c r="AQ8" s="1583">
        <f t="shared" ref="AQ8:AU39" si="11">IF(ISERROR(Z8*(1-$AL8))," ",Z8*(1-$AL8))</f>
        <v>0</v>
      </c>
      <c r="AR8" s="1583">
        <f t="shared" si="11"/>
        <v>0</v>
      </c>
      <c r="AS8" s="1583">
        <f t="shared" si="11"/>
        <v>0</v>
      </c>
      <c r="AT8" s="1585">
        <f t="shared" si="11"/>
        <v>0</v>
      </c>
      <c r="AU8" s="1585">
        <f t="shared" si="11"/>
        <v>0</v>
      </c>
      <c r="AV8" s="1582"/>
      <c r="AW8" s="1588"/>
      <c r="AX8" s="1586">
        <f>IF(ISERROR(AQ8*100000000/'Calc-Units'!$E$23)," ",AQ8*100000000/'Calc-Units'!$E$23)</f>
        <v>0</v>
      </c>
      <c r="AY8" s="1586">
        <f>IF(ISERROR(AR8*100000000/'Calc-Units'!$D$23)," ",AR8*100000000/'Calc-Units'!$D$23)</f>
        <v>0</v>
      </c>
      <c r="AZ8" s="1586">
        <f>IF(ISERROR(AS8*100000000/'Calc-Units'!$C$23)," ",AS8*100000000/'Calc-Units'!$C$23)</f>
        <v>0</v>
      </c>
      <c r="BA8" s="1587">
        <f>IF(ISERROR(AT8*100000000/'Calc-Units'!$C$23)," ",AT8*100000000/'Calc-Units'!$C$23)</f>
        <v>0</v>
      </c>
      <c r="BC8" s="1594"/>
      <c r="BD8" s="375"/>
    </row>
    <row r="9" spans="1:56" s="1494" customFormat="1">
      <c r="A9" s="2205"/>
      <c r="B9" s="2208"/>
      <c r="C9" s="1595" t="s">
        <v>572</v>
      </c>
      <c r="D9" s="1590">
        <f>'RRP 1.3'!F$12</f>
        <v>4.0804256415580955</v>
      </c>
      <c r="E9" s="1590">
        <v>0</v>
      </c>
      <c r="F9" s="1590">
        <v>0</v>
      </c>
      <c r="G9" s="1590">
        <v>0</v>
      </c>
      <c r="H9" s="1590">
        <v>0</v>
      </c>
      <c r="I9" s="1590">
        <f t="shared" si="5"/>
        <v>4.0804256415580955</v>
      </c>
      <c r="J9" s="1556"/>
      <c r="K9" s="1590" t="s">
        <v>893</v>
      </c>
      <c r="L9" s="1597">
        <f>IF(ISERROR(VLOOKUP($K9,'Calc-Drivers'!$B$17:$G$27,L$43,FALSE))," ",VLOOKUP($K9,'Calc-Drivers'!$B$17:$G$27,L$43,FALSE))</f>
        <v>0.28175718819621531</v>
      </c>
      <c r="M9" s="1597">
        <f>IF(ISERROR(VLOOKUP($K9,'Calc-Drivers'!$B$17:$G$27,M$43,FALSE))," ",VLOOKUP($K9,'Calc-Drivers'!$B$17:$G$27,M$43,FALSE))</f>
        <v>0.20497484976598029</v>
      </c>
      <c r="N9" s="1597">
        <f>IF(ISERROR(VLOOKUP($K9,'Calc-Drivers'!$B$17:$G$27,N$43,FALSE))," ",VLOOKUP($K9,'Calc-Drivers'!$B$17:$G$27,N$43,FALSE))</f>
        <v>5.7624656431026856E-2</v>
      </c>
      <c r="O9" s="1597">
        <f>IF(ISERROR(VLOOKUP($K9,'Calc-Drivers'!$B$17:$G$27,O$43,FALSE))," ",VLOOKUP($K9,'Calc-Drivers'!$B$17:$G$27,O$43,FALSE))</f>
        <v>0.24123166274252686</v>
      </c>
      <c r="P9" s="1597">
        <f>IF(ISERROR(VLOOKUP($K9,'Calc-Drivers'!$B$17:$G$27,P$43,FALSE))," ",VLOOKUP($K9,'Calc-Drivers'!$B$17:$G$27,P$43,FALSE))</f>
        <v>0.21441164286425066</v>
      </c>
      <c r="Q9" s="1578"/>
      <c r="R9" s="1579"/>
      <c r="S9" s="1583">
        <f t="shared" si="6"/>
        <v>1.1496892554091469</v>
      </c>
      <c r="T9" s="1583">
        <f t="shared" si="6"/>
        <v>0.83638463285962439</v>
      </c>
      <c r="U9" s="1583">
        <f t="shared" si="6"/>
        <v>0.2351331256871376</v>
      </c>
      <c r="V9" s="1585">
        <f t="shared" si="6"/>
        <v>0.98432786221030133</v>
      </c>
      <c r="W9" s="1585">
        <f t="shared" si="6"/>
        <v>0.87489076539188526</v>
      </c>
      <c r="X9" s="1582"/>
      <c r="Y9" s="375"/>
      <c r="Z9" s="1583">
        <f t="shared" si="7"/>
        <v>1.1496892554091469</v>
      </c>
      <c r="AA9" s="1583">
        <f t="shared" si="7"/>
        <v>0.83638463285962439</v>
      </c>
      <c r="AB9" s="1583">
        <f t="shared" si="7"/>
        <v>0.2351331256871376</v>
      </c>
      <c r="AC9" s="1585">
        <f t="shared" si="8"/>
        <v>0.98432786221030133</v>
      </c>
      <c r="AD9" s="1585">
        <f t="shared" si="8"/>
        <v>0.87489076539188526</v>
      </c>
      <c r="AE9" s="1582"/>
      <c r="AF9" s="1582"/>
      <c r="AG9" s="1586">
        <f>IF(ISERROR(Z9*100000000/'Calc-Units'!$E$23)," ",Z9*100000000/'Calc-Units'!$E$23)</f>
        <v>4.5382084351846827E-3</v>
      </c>
      <c r="AH9" s="1586">
        <f>IF(ISERROR(AA9*100000000/'Calc-Units'!$D$23)," ",AA9*100000000/'Calc-Units'!$D$23)</f>
        <v>3.4889013135066377E-3</v>
      </c>
      <c r="AI9" s="1586">
        <f>IF(ISERROR(AB9*100000000/'Calc-Units'!$C$23)," ",AB9*100000000/'Calc-Units'!$C$23)</f>
        <v>1.3840560236341661E-3</v>
      </c>
      <c r="AJ9" s="1587">
        <f>IF(ISERROR(AC9*100000000/'Calc-Units'!$C$23)," ",AC9*100000000/'Calc-Units'!$C$23)</f>
        <v>5.7940152113481391E-3</v>
      </c>
      <c r="AK9" s="1588"/>
      <c r="AL9" s="1589">
        <v>0.23499999999999999</v>
      </c>
      <c r="AM9" s="1590">
        <f t="shared" si="9"/>
        <v>0.95890002576615241</v>
      </c>
      <c r="AN9" s="1591">
        <f t="shared" si="10"/>
        <v>3.1215256157919433</v>
      </c>
      <c r="AO9" s="1556"/>
      <c r="AP9" s="1556"/>
      <c r="AQ9" s="1583">
        <f t="shared" si="11"/>
        <v>0.87951228038799745</v>
      </c>
      <c r="AR9" s="1583">
        <f t="shared" si="11"/>
        <v>0.6398342441376127</v>
      </c>
      <c r="AS9" s="1583">
        <f t="shared" si="11"/>
        <v>0.17987684115066027</v>
      </c>
      <c r="AT9" s="1585">
        <f t="shared" si="11"/>
        <v>0.75301081459088048</v>
      </c>
      <c r="AU9" s="1585">
        <f t="shared" si="11"/>
        <v>0.6692914355247922</v>
      </c>
      <c r="AV9" s="1582"/>
      <c r="AW9" s="1588"/>
      <c r="AX9" s="1586">
        <f>IF(ISERROR(AQ9*100000000/'Calc-Units'!$E$23)," ",AQ9*100000000/'Calc-Units'!$E$23)</f>
        <v>3.4717294529162828E-3</v>
      </c>
      <c r="AY9" s="1586">
        <f>IF(ISERROR(AR9*100000000/'Calc-Units'!$D$23)," ",AR9*100000000/'Calc-Units'!$D$23)</f>
        <v>2.6690095048325785E-3</v>
      </c>
      <c r="AZ9" s="1586">
        <f>IF(ISERROR(AS9*100000000/'Calc-Units'!$C$23)," ",AS9*100000000/'Calc-Units'!$C$23)</f>
        <v>1.0588028580801371E-3</v>
      </c>
      <c r="BA9" s="1587">
        <f>IF(ISERROR(AT9*100000000/'Calc-Units'!$C$23)," ",AT9*100000000/'Calc-Units'!$C$23)</f>
        <v>4.4324216366813263E-3</v>
      </c>
      <c r="BC9" s="1594"/>
      <c r="BD9" s="375"/>
    </row>
    <row r="10" spans="1:56" s="1494" customFormat="1">
      <c r="A10" s="2205"/>
      <c r="B10" s="2208"/>
      <c r="C10" s="1595" t="s">
        <v>573</v>
      </c>
      <c r="D10" s="1590">
        <f>'RRP 1.3'!G$12</f>
        <v>16.03439464988551</v>
      </c>
      <c r="E10" s="1590">
        <f>SUM('RRP 2.3'!I20:I27)</f>
        <v>2.2577096000157435</v>
      </c>
      <c r="F10" s="1590">
        <f>SUM('RRP 2.3'!I17:I18)</f>
        <v>5.0591044011164197</v>
      </c>
      <c r="G10" s="1590">
        <f>SUM('RRP 2.3'!I19)</f>
        <v>0.22149422987536554</v>
      </c>
      <c r="H10" s="1590">
        <f>SUM('RRP 2.3'!I11:I16)</f>
        <v>9.8778921317486237</v>
      </c>
      <c r="I10" s="1590">
        <f t="shared" si="5"/>
        <v>-1.3818057128706425</v>
      </c>
      <c r="J10" s="1556"/>
      <c r="K10" s="1590" t="s">
        <v>893</v>
      </c>
      <c r="L10" s="1597">
        <f>IF(ISERROR(VLOOKUP($K10,'Calc-Drivers'!$B$17:$G$27,L$43,FALSE))," ",VLOOKUP($K10,'Calc-Drivers'!$B$17:$G$27,L$43,FALSE))</f>
        <v>0.28175718819621531</v>
      </c>
      <c r="M10" s="1597">
        <f>IF(ISERROR(VLOOKUP($K10,'Calc-Drivers'!$B$17:$G$27,M$43,FALSE))," ",VLOOKUP($K10,'Calc-Drivers'!$B$17:$G$27,M$43,FALSE))</f>
        <v>0.20497484976598029</v>
      </c>
      <c r="N10" s="1597">
        <f>IF(ISERROR(VLOOKUP($K10,'Calc-Drivers'!$B$17:$G$27,N$43,FALSE))," ",VLOOKUP($K10,'Calc-Drivers'!$B$17:$G$27,N$43,FALSE))</f>
        <v>5.7624656431026856E-2</v>
      </c>
      <c r="O10" s="1597">
        <f>IF(ISERROR(VLOOKUP($K10,'Calc-Drivers'!$B$17:$G$27,O$43,FALSE))," ",VLOOKUP($K10,'Calc-Drivers'!$B$17:$G$27,O$43,FALSE))</f>
        <v>0.24123166274252686</v>
      </c>
      <c r="P10" s="1597">
        <f>IF(ISERROR(VLOOKUP($K10,'Calc-Drivers'!$B$17:$G$27,P$43,FALSE))," ",VLOOKUP($K10,'Calc-Drivers'!$B$17:$G$27,P$43,FALSE))</f>
        <v>0.21441164286425066</v>
      </c>
      <c r="Q10" s="1578"/>
      <c r="R10" s="1579"/>
      <c r="S10" s="1583">
        <f t="shared" si="6"/>
        <v>-0.38933369229189907</v>
      </c>
      <c r="T10" s="1583">
        <f t="shared" si="6"/>
        <v>-0.28323541840143324</v>
      </c>
      <c r="U10" s="1583">
        <f t="shared" si="6"/>
        <v>-7.9626079458600924E-2</v>
      </c>
      <c r="V10" s="1585">
        <f t="shared" si="6"/>
        <v>-0.33333528970290771</v>
      </c>
      <c r="W10" s="1585">
        <f t="shared" si="6"/>
        <v>-0.2962752330158015</v>
      </c>
      <c r="X10" s="1582"/>
      <c r="Y10" s="375"/>
      <c r="Z10" s="1583">
        <f t="shared" si="7"/>
        <v>1.8683759077238444</v>
      </c>
      <c r="AA10" s="1583">
        <f t="shared" si="7"/>
        <v>4.7758689827149867</v>
      </c>
      <c r="AB10" s="1583">
        <f t="shared" si="7"/>
        <v>0.14186815041676462</v>
      </c>
      <c r="AC10" s="1585">
        <f t="shared" si="8"/>
        <v>4.8963264084093963</v>
      </c>
      <c r="AD10" s="1585">
        <f t="shared" si="8"/>
        <v>4.3519552006205178</v>
      </c>
      <c r="AE10" s="1582"/>
      <c r="AF10" s="1582"/>
      <c r="AG10" s="1586">
        <f>IF(ISERROR(Z10*100000000/'Calc-Units'!$E$23)," ",Z10*100000000/'Calc-Units'!$E$23)</f>
        <v>7.3751052857414833E-3</v>
      </c>
      <c r="AH10" s="1586">
        <f>IF(ISERROR(AA10*100000000/'Calc-Units'!$D$23)," ",AA10*100000000/'Calc-Units'!$D$23)</f>
        <v>1.9922096739104611E-2</v>
      </c>
      <c r="AI10" s="1586">
        <f>IF(ISERROR(AB10*100000000/'Calc-Units'!$C$23)," ",AB10*100000000/'Calc-Units'!$C$23)</f>
        <v>8.3507361020422177E-4</v>
      </c>
      <c r="AJ10" s="1587">
        <f>IF(ISERROR(AC10*100000000/'Calc-Units'!$C$23)," ",AC10*100000000/'Calc-Units'!$C$23)</f>
        <v>2.8821077589276382E-2</v>
      </c>
      <c r="AK10" s="1588"/>
      <c r="AL10" s="1589">
        <v>0.23499999999999999</v>
      </c>
      <c r="AM10" s="1590">
        <f t="shared" si="9"/>
        <v>3.7680827427230947</v>
      </c>
      <c r="AN10" s="1591">
        <f t="shared" si="10"/>
        <v>12.266311907162414</v>
      </c>
      <c r="AO10" s="1556"/>
      <c r="AP10" s="1556"/>
      <c r="AQ10" s="1583">
        <f t="shared" si="11"/>
        <v>1.4293075694087409</v>
      </c>
      <c r="AR10" s="1583">
        <f t="shared" si="11"/>
        <v>3.6535397717769649</v>
      </c>
      <c r="AS10" s="1583">
        <f t="shared" si="11"/>
        <v>0.10852913506882493</v>
      </c>
      <c r="AT10" s="1585">
        <f t="shared" si="11"/>
        <v>3.7456897024331881</v>
      </c>
      <c r="AU10" s="1585">
        <f t="shared" si="11"/>
        <v>3.3292457284746964</v>
      </c>
      <c r="AV10" s="1582"/>
      <c r="AW10" s="1588"/>
      <c r="AX10" s="1586">
        <f>IF(ISERROR(AQ10*100000000/'Calc-Units'!$E$23)," ",AQ10*100000000/'Calc-Units'!$E$23)</f>
        <v>5.6419555435922352E-3</v>
      </c>
      <c r="AY10" s="1586">
        <f>IF(ISERROR(AR10*100000000/'Calc-Units'!$D$23)," ",AR10*100000000/'Calc-Units'!$D$23)</f>
        <v>1.5240404005415025E-2</v>
      </c>
      <c r="AZ10" s="1586">
        <f>IF(ISERROR(AS10*100000000/'Calc-Units'!$C$23)," ",AS10*100000000/'Calc-Units'!$C$23)</f>
        <v>6.3883131180622957E-4</v>
      </c>
      <c r="BA10" s="1587">
        <f>IF(ISERROR(AT10*100000000/'Calc-Units'!$C$23)," ",AT10*100000000/'Calc-Units'!$C$23)</f>
        <v>2.2048124355796429E-2</v>
      </c>
      <c r="BC10" s="1594"/>
      <c r="BD10" s="375"/>
    </row>
    <row r="11" spans="1:56" s="1494" customFormat="1">
      <c r="A11" s="2205"/>
      <c r="B11" s="2208"/>
      <c r="C11" s="1595" t="s">
        <v>574</v>
      </c>
      <c r="D11" s="1590">
        <f>'RRP 1.3'!H$12</f>
        <v>4.7429879453085206</v>
      </c>
      <c r="E11" s="1590">
        <f>SUM('RRP 2.3'!G20:G27)</f>
        <v>2.019581686503984</v>
      </c>
      <c r="F11" s="1590">
        <f>SUM('RRP 2.3'!G17:G18)</f>
        <v>0.21262101097095401</v>
      </c>
      <c r="G11" s="1596">
        <f>SUM('RRP 2.3'!G19)</f>
        <v>2.9180128049356981</v>
      </c>
      <c r="H11" s="1590">
        <f>SUM('RRP 2.3'!G11:G16)</f>
        <v>0.95653180648450564</v>
      </c>
      <c r="I11" s="1590">
        <f t="shared" si="5"/>
        <v>-1.363759363586621</v>
      </c>
      <c r="J11" s="1556"/>
      <c r="K11" s="1598" t="s">
        <v>893</v>
      </c>
      <c r="L11" s="1597">
        <f>IF(ISERROR(VLOOKUP($K11,'Calc-Drivers'!$B$17:$G$27,L$43,FALSE))," ",VLOOKUP($K11,'Calc-Drivers'!$B$17:$G$27,L$43,FALSE))</f>
        <v>0.28175718819621531</v>
      </c>
      <c r="M11" s="1597">
        <f>IF(ISERROR(VLOOKUP($K11,'Calc-Drivers'!$B$17:$G$27,M$43,FALSE))," ",VLOOKUP($K11,'Calc-Drivers'!$B$17:$G$27,M$43,FALSE))</f>
        <v>0.20497484976598029</v>
      </c>
      <c r="N11" s="1597">
        <f>IF(ISERROR(VLOOKUP($K11,'Calc-Drivers'!$B$17:$G$27,N$43,FALSE))," ",VLOOKUP($K11,'Calc-Drivers'!$B$17:$G$27,N$43,FALSE))</f>
        <v>5.7624656431026856E-2</v>
      </c>
      <c r="O11" s="1597">
        <f>IF(ISERROR(VLOOKUP($K11,'Calc-Drivers'!$B$17:$G$27,O$43,FALSE))," ",VLOOKUP($K11,'Calc-Drivers'!$B$17:$G$27,O$43,FALSE))</f>
        <v>0.24123166274252686</v>
      </c>
      <c r="P11" s="1597">
        <f>IF(ISERROR(VLOOKUP($K11,'Calc-Drivers'!$B$17:$G$27,P$43,FALSE))," ",VLOOKUP($K11,'Calc-Drivers'!$B$17:$G$27,P$43,FALSE))</f>
        <v>0.21441164286425066</v>
      </c>
      <c r="Q11" s="1578"/>
      <c r="R11" s="1579"/>
      <c r="S11" s="1583">
        <f t="shared" si="6"/>
        <v>-0.38424900366042641</v>
      </c>
      <c r="T11" s="1583">
        <f t="shared" si="6"/>
        <v>-0.27953637066811654</v>
      </c>
      <c r="U11" s="1583">
        <f t="shared" si="6"/>
        <v>-7.8586164781274878E-2</v>
      </c>
      <c r="V11" s="1585">
        <f t="shared" si="6"/>
        <v>-0.32898193885869081</v>
      </c>
      <c r="W11" s="1585">
        <f t="shared" si="6"/>
        <v>-0.29240588561811232</v>
      </c>
      <c r="X11" s="1582"/>
      <c r="Y11" s="375"/>
      <c r="Z11" s="1583">
        <f t="shared" si="7"/>
        <v>1.6353326828435575</v>
      </c>
      <c r="AA11" s="1583">
        <f t="shared" si="7"/>
        <v>-6.691535969716253E-2</v>
      </c>
      <c r="AB11" s="1583">
        <f t="shared" si="7"/>
        <v>2.8394266401544233</v>
      </c>
      <c r="AC11" s="1585">
        <f t="shared" si="8"/>
        <v>0.17743559280478322</v>
      </c>
      <c r="AD11" s="1585">
        <f t="shared" si="8"/>
        <v>0.1577083892029193</v>
      </c>
      <c r="AE11" s="1582"/>
      <c r="AF11" s="1582"/>
      <c r="AG11" s="1586">
        <f>IF(ISERROR(Z11*100000000/'Calc-Units'!$E$23)," ",Z11*100000000/'Calc-Units'!$E$23)</f>
        <v>6.4552056485669288E-3</v>
      </c>
      <c r="AH11" s="1586">
        <f>IF(ISERROR(AA11*100000000/'Calc-Units'!$D$23)," ",AA11*100000000/'Calc-Units'!$D$23)</f>
        <v>-2.7913124795584656E-4</v>
      </c>
      <c r="AI11" s="1586">
        <f>IF(ISERROR(AB11*100000000/'Calc-Units'!$C$23)," ",AB11*100000000/'Calc-Units'!$C$23)</f>
        <v>1.6713619289024016E-2</v>
      </c>
      <c r="AJ11" s="1587">
        <f>IF(ISERROR(AC11*100000000/'Calc-Units'!$C$23)," ",AC11*100000000/'Calc-Units'!$C$23)</f>
        <v>1.0444330219780396E-3</v>
      </c>
      <c r="AK11" s="1588"/>
      <c r="AL11" s="1589">
        <v>0.23499999999999999</v>
      </c>
      <c r="AM11" s="1590">
        <f t="shared" si="9"/>
        <v>1.1146021671475024</v>
      </c>
      <c r="AN11" s="1591">
        <f t="shared" si="10"/>
        <v>3.6283857781610185</v>
      </c>
      <c r="AO11" s="1556"/>
      <c r="AP11" s="1556"/>
      <c r="AQ11" s="1599">
        <f t="shared" si="11"/>
        <v>1.2510295023753215</v>
      </c>
      <c r="AR11" s="1599">
        <f t="shared" si="11"/>
        <v>-5.1190250168329336E-2</v>
      </c>
      <c r="AS11" s="1599">
        <f t="shared" si="11"/>
        <v>2.1721613797181338</v>
      </c>
      <c r="AT11" s="1600">
        <f t="shared" si="11"/>
        <v>0.13573822849565917</v>
      </c>
      <c r="AU11" s="1600">
        <f t="shared" si="11"/>
        <v>0.12064691774023327</v>
      </c>
      <c r="AV11" s="1582"/>
      <c r="AW11" s="1588"/>
      <c r="AX11" s="1601">
        <f>IF(ISERROR(AQ11*100000000/'Calc-Units'!$E$23)," ",AQ11*100000000/'Calc-Units'!$E$23)</f>
        <v>4.9382323211536999E-3</v>
      </c>
      <c r="AY11" s="1601">
        <f>IF(ISERROR(AR11*100000000/'Calc-Units'!$D$23)," ",AR11*100000000/'Calc-Units'!$D$23)</f>
        <v>-2.1353540468622262E-4</v>
      </c>
      <c r="AZ11" s="1601">
        <f>IF(ISERROR(AS11*100000000/'Calc-Units'!$C$23)," ",AS11*100000000/'Calc-Units'!$C$23)</f>
        <v>1.2785918756103373E-2</v>
      </c>
      <c r="BA11" s="1602">
        <f>IF(ISERROR(AT11*100000000/'Calc-Units'!$C$23)," ",AT11*100000000/'Calc-Units'!$C$23)</f>
        <v>7.9899126181320044E-4</v>
      </c>
      <c r="BC11" s="1594"/>
      <c r="BD11" s="375"/>
    </row>
    <row r="12" spans="1:56" s="1494" customFormat="1" ht="16.5" customHeight="1">
      <c r="A12" s="2206"/>
      <c r="B12" s="2209"/>
      <c r="C12" s="1603" t="s">
        <v>575</v>
      </c>
      <c r="D12" s="1570">
        <f>'RRP 1.3'!I$12</f>
        <v>1.6368881011594891</v>
      </c>
      <c r="E12" s="1570">
        <f>'RRP 2.3'!G46+'RRP 2.3'!G47</f>
        <v>0.43214456645690369</v>
      </c>
      <c r="F12" s="1570">
        <f>'RRP 2.3'!G45</f>
        <v>0.63796925816372496</v>
      </c>
      <c r="G12" s="1571">
        <v>0</v>
      </c>
      <c r="H12" s="1570">
        <f>'RRP 2.3'!G44</f>
        <v>0.65887043882025875</v>
      </c>
      <c r="I12" s="1570">
        <f t="shared" si="5"/>
        <v>-9.2096162281398275E-2</v>
      </c>
      <c r="J12" s="1556"/>
      <c r="K12" s="1604" t="s">
        <v>893</v>
      </c>
      <c r="L12" s="1605">
        <f>IF(ISERROR(VLOOKUP($K12,'Calc-Drivers'!$B$17:$G$27,L$43,FALSE))," ",VLOOKUP($K12,'Calc-Drivers'!$B$17:$G$27,L$43,FALSE))</f>
        <v>0.28175718819621531</v>
      </c>
      <c r="M12" s="1605">
        <f>IF(ISERROR(VLOOKUP($K12,'Calc-Drivers'!$B$17:$G$27,M$43,FALSE))," ",VLOOKUP($K12,'Calc-Drivers'!$B$17:$G$27,M$43,FALSE))</f>
        <v>0.20497484976598029</v>
      </c>
      <c r="N12" s="1605">
        <f>IF(ISERROR(VLOOKUP($K12,'Calc-Drivers'!$B$17:$G$27,N$43,FALSE))," ",VLOOKUP($K12,'Calc-Drivers'!$B$17:$G$27,N$43,FALSE))</f>
        <v>5.7624656431026856E-2</v>
      </c>
      <c r="O12" s="1605">
        <f>IF(ISERROR(VLOOKUP($K12,'Calc-Drivers'!$B$17:$G$27,O$43,FALSE))," ",VLOOKUP($K12,'Calc-Drivers'!$B$17:$G$27,O$43,FALSE))</f>
        <v>0.24123166274252686</v>
      </c>
      <c r="P12" s="1605">
        <f>IF(ISERROR(VLOOKUP($K12,'Calc-Drivers'!$B$17:$G$27,P$43,FALSE))," ",VLOOKUP($K12,'Calc-Drivers'!$B$17:$G$27,P$43,FALSE))</f>
        <v>0.21441164286425066</v>
      </c>
      <c r="Q12" s="1578"/>
      <c r="R12" s="1579"/>
      <c r="S12" s="1599">
        <f t="shared" si="6"/>
        <v>-2.5948755728069119E-2</v>
      </c>
      <c r="T12" s="1599">
        <f t="shared" si="6"/>
        <v>-1.8877397027652953E-2</v>
      </c>
      <c r="U12" s="1599">
        <f t="shared" si="6"/>
        <v>-5.3070097100816702E-3</v>
      </c>
      <c r="V12" s="1600">
        <f t="shared" si="6"/>
        <v>-2.2216510359347293E-2</v>
      </c>
      <c r="W12" s="1600">
        <f t="shared" si="6"/>
        <v>-1.974648945624724E-2</v>
      </c>
      <c r="X12" s="1582"/>
      <c r="Y12" s="375"/>
      <c r="Z12" s="1599">
        <f t="shared" si="7"/>
        <v>0.40619581072883459</v>
      </c>
      <c r="AA12" s="1599">
        <f t="shared" si="7"/>
        <v>0.61909186113607206</v>
      </c>
      <c r="AB12" s="1599">
        <f t="shared" si="7"/>
        <v>-5.3070097100816702E-3</v>
      </c>
      <c r="AC12" s="1600">
        <f t="shared" si="8"/>
        <v>0.32660988417496795</v>
      </c>
      <c r="AD12" s="1600">
        <f t="shared" si="8"/>
        <v>0.29029755482969632</v>
      </c>
      <c r="AE12" s="1582"/>
      <c r="AF12" s="1582"/>
      <c r="AG12" s="1601">
        <f>IF(ISERROR(Z12*100000000/'Calc-Units'!$E$23)," ",Z12*100000000/'Calc-Units'!$E$23)</f>
        <v>1.6033908692399284E-3</v>
      </c>
      <c r="AH12" s="1601">
        <f>IF(ISERROR(AA12*100000000/'Calc-Units'!$D$23)," ",AA12*100000000/'Calc-Units'!$D$23)</f>
        <v>2.5824845682709103E-3</v>
      </c>
      <c r="AI12" s="1601">
        <f>IF(ISERROR(AB12*100000000/'Calc-Units'!$C$23)," ",AB12*100000000/'Calc-Units'!$C$23)</f>
        <v>-3.1238468570765686E-5</v>
      </c>
      <c r="AJ12" s="1602">
        <f>IF(ISERROR(AC12*100000000/'Calc-Units'!$C$23)," ",AC12*100000000/'Calc-Units'!$C$23)</f>
        <v>1.9225125181736562E-3</v>
      </c>
      <c r="AK12" s="1588"/>
      <c r="AL12" s="1606">
        <v>0.23499999999999999</v>
      </c>
      <c r="AM12" s="1570">
        <f t="shared" si="9"/>
        <v>0.38466870377247991</v>
      </c>
      <c r="AN12" s="1607">
        <f t="shared" si="10"/>
        <v>1.2522193973870093</v>
      </c>
      <c r="AO12" s="1556"/>
      <c r="AP12" s="1556"/>
      <c r="AQ12" s="1580">
        <f t="shared" si="11"/>
        <v>0.31073979520755846</v>
      </c>
      <c r="AR12" s="1580">
        <f t="shared" si="11"/>
        <v>0.47360527376909511</v>
      </c>
      <c r="AS12" s="1580">
        <f t="shared" si="11"/>
        <v>-4.0598624282124776E-3</v>
      </c>
      <c r="AT12" s="1581">
        <f t="shared" si="11"/>
        <v>0.24985656139385048</v>
      </c>
      <c r="AU12" s="1581">
        <f t="shared" si="11"/>
        <v>0.22207762944471771</v>
      </c>
      <c r="AV12" s="1582"/>
      <c r="AW12" s="1588"/>
      <c r="AX12" s="1592">
        <f>IF(ISERROR(AQ12*100000000/'Calc-Units'!$E$23)," ",AQ12*100000000/'Calc-Units'!$E$23)</f>
        <v>1.2265940149685452E-3</v>
      </c>
      <c r="AY12" s="1592">
        <f>IF(ISERROR(AR12*100000000/'Calc-Units'!$D$23)," ",AR12*100000000/'Calc-Units'!$D$23)</f>
        <v>1.9756006947272463E-3</v>
      </c>
      <c r="AZ12" s="1592">
        <f>IF(ISERROR(AS12*100000000/'Calc-Units'!$C$23)," ",AS12*100000000/'Calc-Units'!$C$23)</f>
        <v>-2.3897428456635752E-5</v>
      </c>
      <c r="BA12" s="1593">
        <f>IF(ISERROR(AT12*100000000/'Calc-Units'!$C$23)," ",AT12*100000000/'Calc-Units'!$C$23)</f>
        <v>1.470722076402847E-3</v>
      </c>
      <c r="BC12" s="1594"/>
      <c r="BD12" s="375"/>
    </row>
    <row r="13" spans="1:56" s="1497" customFormat="1" ht="12.75" customHeight="1">
      <c r="A13" s="1608"/>
      <c r="B13" s="2220" t="s">
        <v>894</v>
      </c>
      <c r="C13" s="1609" t="s">
        <v>576</v>
      </c>
      <c r="D13" s="1598">
        <f>'RRP 1.3'!J$12</f>
        <v>0.79877823527135439</v>
      </c>
      <c r="E13" s="1598">
        <v>0</v>
      </c>
      <c r="F13" s="1598">
        <v>0</v>
      </c>
      <c r="G13" s="1598">
        <v>0</v>
      </c>
      <c r="H13" s="1598">
        <v>0</v>
      </c>
      <c r="I13" s="1598">
        <f t="shared" si="5"/>
        <v>0.79877823527135439</v>
      </c>
      <c r="J13" s="1610"/>
      <c r="K13" s="1598" t="s">
        <v>893</v>
      </c>
      <c r="L13" s="1597">
        <f>IF(ISERROR(VLOOKUP($K13,'Calc-Drivers'!$B$17:$G$27,L$43,FALSE))," ",VLOOKUP($K13,'Calc-Drivers'!$B$17:$G$27,L$43,FALSE))</f>
        <v>0.28175718819621531</v>
      </c>
      <c r="M13" s="1597">
        <f>IF(ISERROR(VLOOKUP($K13,'Calc-Drivers'!$B$17:$G$27,M$43,FALSE))," ",VLOOKUP($K13,'Calc-Drivers'!$B$17:$G$27,M$43,FALSE))</f>
        <v>0.20497484976598029</v>
      </c>
      <c r="N13" s="1597">
        <f>IF(ISERROR(VLOOKUP($K13,'Calc-Drivers'!$B$17:$G$27,N$43,FALSE))," ",VLOOKUP($K13,'Calc-Drivers'!$B$17:$G$27,N$43,FALSE))</f>
        <v>5.7624656431026856E-2</v>
      </c>
      <c r="O13" s="1597">
        <f>IF(ISERROR(VLOOKUP($K13,'Calc-Drivers'!$B$17:$G$27,O$43,FALSE))," ",VLOOKUP($K13,'Calc-Drivers'!$B$17:$G$27,O$43,FALSE))</f>
        <v>0.24123166274252686</v>
      </c>
      <c r="P13" s="1597">
        <f>IF(ISERROR(VLOOKUP($K13,'Calc-Drivers'!$B$17:$G$27,P$43,FALSE))," ",VLOOKUP($K13,'Calc-Drivers'!$B$17:$G$27,P$43,FALSE))</f>
        <v>0.21441164286425066</v>
      </c>
      <c r="Q13" s="1578"/>
      <c r="R13" s="1579"/>
      <c r="S13" s="1583">
        <f t="shared" si="6"/>
        <v>0.22506150956239174</v>
      </c>
      <c r="T13" s="1583">
        <f t="shared" si="6"/>
        <v>0.16372944877108073</v>
      </c>
      <c r="U13" s="1583">
        <f t="shared" si="6"/>
        <v>4.6029321372093736E-2</v>
      </c>
      <c r="V13" s="1585">
        <f t="shared" si="6"/>
        <v>0.19269060185705014</v>
      </c>
      <c r="W13" s="1585">
        <f t="shared" si="6"/>
        <v>0.17126735370873802</v>
      </c>
      <c r="X13" s="1582"/>
      <c r="Y13" s="1594"/>
      <c r="Z13" s="1580">
        <f t="shared" si="7"/>
        <v>0.22506150956239174</v>
      </c>
      <c r="AA13" s="1580">
        <f t="shared" si="7"/>
        <v>0.16372944877108073</v>
      </c>
      <c r="AB13" s="1580">
        <f t="shared" si="7"/>
        <v>4.6029321372093736E-2</v>
      </c>
      <c r="AC13" s="1581">
        <f t="shared" si="8"/>
        <v>0.19269060185705014</v>
      </c>
      <c r="AD13" s="1581">
        <f t="shared" si="8"/>
        <v>0.17126735370873802</v>
      </c>
      <c r="AE13" s="1582"/>
      <c r="AF13" s="1611"/>
      <c r="AG13" s="1592">
        <f>IF(ISERROR(Z13*100000000/'Calc-Units'!$E$23)," ",Z13*100000000/'Calc-Units'!$E$23)</f>
        <v>8.8839313434129743E-4</v>
      </c>
      <c r="AH13" s="1592">
        <f>IF(ISERROR(AA13*100000000/'Calc-Units'!$D$23)," ",AA13*100000000/'Calc-Units'!$D$23)</f>
        <v>6.8298228642014688E-4</v>
      </c>
      <c r="AI13" s="1592">
        <f>IF(ISERROR(AB13*100000000/'Calc-Units'!$C$23)," ",AB13*100000000/'Calc-Units'!$C$23)</f>
        <v>2.7094080990360496E-4</v>
      </c>
      <c r="AJ13" s="1593">
        <f>IF(ISERROR(AC13*100000000/'Calc-Units'!$C$23)," ",AC13*100000000/'Calc-Units'!$C$23)</f>
        <v>1.1342280566320562E-3</v>
      </c>
      <c r="AK13" s="1612"/>
      <c r="AL13" s="1613">
        <v>0.52569999999999995</v>
      </c>
      <c r="AM13" s="1555">
        <f t="shared" si="9"/>
        <v>0.41991771828215096</v>
      </c>
      <c r="AN13" s="1614">
        <f t="shared" si="10"/>
        <v>0.37886051698920342</v>
      </c>
      <c r="AO13" s="1556"/>
      <c r="AP13" s="1556"/>
      <c r="AQ13" s="1583">
        <f t="shared" si="11"/>
        <v>0.10674667398544241</v>
      </c>
      <c r="AR13" s="1583">
        <f t="shared" si="11"/>
        <v>7.7656877552123596E-2</v>
      </c>
      <c r="AS13" s="1583">
        <f t="shared" si="11"/>
        <v>2.1831707126784061E-2</v>
      </c>
      <c r="AT13" s="1585">
        <f t="shared" si="11"/>
        <v>9.139315246079889E-2</v>
      </c>
      <c r="AU13" s="1585">
        <f t="shared" si="11"/>
        <v>8.1232105864054452E-2</v>
      </c>
      <c r="AV13" s="1582"/>
      <c r="AW13" s="1612"/>
      <c r="AX13" s="1586">
        <f>IF(ISERROR(AQ13*100000000/'Calc-Units'!$E$23)," ",AQ13*100000000/'Calc-Units'!$E$23)</f>
        <v>4.2136486361807736E-4</v>
      </c>
      <c r="AY13" s="1586">
        <f>IF(ISERROR(AR13*100000000/'Calc-Units'!$D$23)," ",AR13*100000000/'Calc-Units'!$D$23)</f>
        <v>3.239384984490757E-4</v>
      </c>
      <c r="AZ13" s="1586">
        <f>IF(ISERROR(AS13*100000000/'Calc-Units'!$C$23)," ",AS13*100000000/'Calc-Units'!$C$23)</f>
        <v>1.2850722613727984E-4</v>
      </c>
      <c r="BA13" s="1587">
        <f>IF(ISERROR(AT13*100000000/'Calc-Units'!$C$23)," ",AT13*100000000/'Calc-Units'!$C$23)</f>
        <v>5.3796436726058429E-4</v>
      </c>
      <c r="BC13" s="1594"/>
      <c r="BD13" s="1594"/>
    </row>
    <row r="14" spans="1:56" s="1497" customFormat="1">
      <c r="A14" s="1608"/>
      <c r="B14" s="2221"/>
      <c r="C14" s="1609" t="s">
        <v>577</v>
      </c>
      <c r="D14" s="1598">
        <f>'RRP 1.3'!K$12</f>
        <v>8.50892620520073</v>
      </c>
      <c r="E14" s="1598">
        <v>0</v>
      </c>
      <c r="F14" s="1598">
        <v>0</v>
      </c>
      <c r="G14" s="1598">
        <v>0</v>
      </c>
      <c r="H14" s="1598">
        <v>0</v>
      </c>
      <c r="I14" s="1598">
        <f t="shared" si="5"/>
        <v>8.50892620520073</v>
      </c>
      <c r="J14" s="1610"/>
      <c r="K14" s="1598" t="s">
        <v>893</v>
      </c>
      <c r="L14" s="1597">
        <f>IF(ISERROR(VLOOKUP($K14,'Calc-Drivers'!$B$17:$G$27,L$43,FALSE))," ",VLOOKUP($K14,'Calc-Drivers'!$B$17:$G$27,L$43,FALSE))</f>
        <v>0.28175718819621531</v>
      </c>
      <c r="M14" s="1597">
        <f>IF(ISERROR(VLOOKUP($K14,'Calc-Drivers'!$B$17:$G$27,M$43,FALSE))," ",VLOOKUP($K14,'Calc-Drivers'!$B$17:$G$27,M$43,FALSE))</f>
        <v>0.20497484976598029</v>
      </c>
      <c r="N14" s="1597">
        <f>IF(ISERROR(VLOOKUP($K14,'Calc-Drivers'!$B$17:$G$27,N$43,FALSE))," ",VLOOKUP($K14,'Calc-Drivers'!$B$17:$G$27,N$43,FALSE))</f>
        <v>5.7624656431026856E-2</v>
      </c>
      <c r="O14" s="1597">
        <f>IF(ISERROR(VLOOKUP($K14,'Calc-Drivers'!$B$17:$G$27,O$43,FALSE))," ",VLOOKUP($K14,'Calc-Drivers'!$B$17:$G$27,O$43,FALSE))</f>
        <v>0.24123166274252686</v>
      </c>
      <c r="P14" s="1597">
        <f>IF(ISERROR(VLOOKUP($K14,'Calc-Drivers'!$B$17:$G$27,P$43,FALSE))," ",VLOOKUP($K14,'Calc-Drivers'!$B$17:$G$27,P$43,FALSE))</f>
        <v>0.21441164286425066</v>
      </c>
      <c r="Q14" s="1578"/>
      <c r="R14" s="1579"/>
      <c r="S14" s="1583">
        <f t="shared" si="6"/>
        <v>2.3974511221464501</v>
      </c>
      <c r="T14" s="1583">
        <f t="shared" si="6"/>
        <v>1.7441158705808324</v>
      </c>
      <c r="U14" s="1583">
        <f t="shared" si="6"/>
        <v>0.49032394917165317</v>
      </c>
      <c r="V14" s="1585">
        <f t="shared" si="6"/>
        <v>2.0526224166340312</v>
      </c>
      <c r="W14" s="1585">
        <f t="shared" si="6"/>
        <v>1.8244128466677625</v>
      </c>
      <c r="X14" s="1582"/>
      <c r="Y14" s="1594"/>
      <c r="Z14" s="1583">
        <f t="shared" si="7"/>
        <v>2.3974511221464501</v>
      </c>
      <c r="AA14" s="1583">
        <f t="shared" si="7"/>
        <v>1.7441158705808324</v>
      </c>
      <c r="AB14" s="1583">
        <f t="shared" si="7"/>
        <v>0.49032394917165317</v>
      </c>
      <c r="AC14" s="1585">
        <f t="shared" si="8"/>
        <v>2.0526224166340312</v>
      </c>
      <c r="AD14" s="1585">
        <f t="shared" si="8"/>
        <v>1.8244128466677625</v>
      </c>
      <c r="AE14" s="1582"/>
      <c r="AF14" s="1611"/>
      <c r="AG14" s="1586">
        <f>IF(ISERROR(Z14*100000000/'Calc-Units'!$E$23)," ",Z14*100000000/'Calc-Units'!$E$23)</f>
        <v>9.4635423043907853E-3</v>
      </c>
      <c r="AH14" s="1586">
        <f>IF(ISERROR(AA14*100000000/'Calc-Units'!$D$23)," ",AA14*100000000/'Calc-Units'!$D$23)</f>
        <v>7.2754184052524684E-3</v>
      </c>
      <c r="AI14" s="1586">
        <f>IF(ISERROR(AB14*100000000/'Calc-Units'!$C$23)," ",AB14*100000000/'Calc-Units'!$C$23)</f>
        <v>2.8861769833574856E-3</v>
      </c>
      <c r="AJ14" s="1587">
        <f>IF(ISERROR(AC14*100000000/'Calc-Units'!$C$23)," ",AC14*100000000/'Calc-Units'!$C$23)</f>
        <v>1.2082280672647296E-2</v>
      </c>
      <c r="AK14" s="1612"/>
      <c r="AL14" s="1615">
        <v>0.52569999999999995</v>
      </c>
      <c r="AM14" s="1590">
        <f t="shared" si="9"/>
        <v>4.4731425060740229</v>
      </c>
      <c r="AN14" s="1591">
        <f t="shared" si="10"/>
        <v>4.0357836991267071</v>
      </c>
      <c r="AO14" s="1556"/>
      <c r="AP14" s="1556"/>
      <c r="AQ14" s="1583">
        <f t="shared" si="11"/>
        <v>1.1371110672340614</v>
      </c>
      <c r="AR14" s="1583">
        <f t="shared" si="11"/>
        <v>0.82723415741648887</v>
      </c>
      <c r="AS14" s="1583">
        <f t="shared" si="11"/>
        <v>0.23256064909211513</v>
      </c>
      <c r="AT14" s="1585">
        <f t="shared" si="11"/>
        <v>0.97355881220952112</v>
      </c>
      <c r="AU14" s="1585">
        <f t="shared" si="11"/>
        <v>0.86531901317451987</v>
      </c>
      <c r="AV14" s="1582"/>
      <c r="AW14" s="1612"/>
      <c r="AX14" s="1586">
        <f>IF(ISERROR(AQ14*100000000/'Calc-Units'!$E$23)," ",AQ14*100000000/'Calc-Units'!$E$23)</f>
        <v>4.4885581149725498E-3</v>
      </c>
      <c r="AY14" s="1586">
        <f>IF(ISERROR(AR14*100000000/'Calc-Units'!$D$23)," ",AR14*100000000/'Calc-Units'!$D$23)</f>
        <v>3.4507309496112459E-3</v>
      </c>
      <c r="AZ14" s="1586">
        <f>IF(ISERROR(AS14*100000000/'Calc-Units'!$C$23)," ",AS14*100000000/'Calc-Units'!$C$23)</f>
        <v>1.3689137432064556E-3</v>
      </c>
      <c r="BA14" s="1587">
        <f>IF(ISERROR(AT14*100000000/'Calc-Units'!$C$23)," ",AT14*100000000/'Calc-Units'!$C$23)</f>
        <v>5.7306257230366128E-3</v>
      </c>
      <c r="BC14" s="1594"/>
      <c r="BD14" s="1594"/>
    </row>
    <row r="15" spans="1:56" s="1497" customFormat="1">
      <c r="A15" s="1608"/>
      <c r="B15" s="2221"/>
      <c r="C15" s="1609" t="s">
        <v>578</v>
      </c>
      <c r="D15" s="1598">
        <f>'RRP 1.3'!L$12</f>
        <v>3.864575487820221</v>
      </c>
      <c r="E15" s="1598">
        <v>0</v>
      </c>
      <c r="F15" s="1598">
        <v>0</v>
      </c>
      <c r="G15" s="1598">
        <v>0</v>
      </c>
      <c r="H15" s="1598">
        <v>0</v>
      </c>
      <c r="I15" s="1598">
        <f t="shared" si="5"/>
        <v>3.864575487820221</v>
      </c>
      <c r="J15" s="1610"/>
      <c r="K15" s="1598" t="s">
        <v>893</v>
      </c>
      <c r="L15" s="1597">
        <f>IF(ISERROR(VLOOKUP($K15,'Calc-Drivers'!$B$17:$G$27,L$43,FALSE))," ",VLOOKUP($K15,'Calc-Drivers'!$B$17:$G$27,L$43,FALSE))</f>
        <v>0.28175718819621531</v>
      </c>
      <c r="M15" s="1597">
        <f>IF(ISERROR(VLOOKUP($K15,'Calc-Drivers'!$B$17:$G$27,M$43,FALSE))," ",VLOOKUP($K15,'Calc-Drivers'!$B$17:$G$27,M$43,FALSE))</f>
        <v>0.20497484976598029</v>
      </c>
      <c r="N15" s="1597">
        <f>IF(ISERROR(VLOOKUP($K15,'Calc-Drivers'!$B$17:$G$27,N$43,FALSE))," ",VLOOKUP($K15,'Calc-Drivers'!$B$17:$G$27,N$43,FALSE))</f>
        <v>5.7624656431026856E-2</v>
      </c>
      <c r="O15" s="1597">
        <f>IF(ISERROR(VLOOKUP($K15,'Calc-Drivers'!$B$17:$G$27,O$43,FALSE))," ",VLOOKUP($K15,'Calc-Drivers'!$B$17:$G$27,O$43,FALSE))</f>
        <v>0.24123166274252686</v>
      </c>
      <c r="P15" s="1597">
        <f>IF(ISERROR(VLOOKUP($K15,'Calc-Drivers'!$B$17:$G$27,P$43,FALSE))," ",VLOOKUP($K15,'Calc-Drivers'!$B$17:$G$27,P$43,FALSE))</f>
        <v>0.21441164286425066</v>
      </c>
      <c r="Q15" s="1578"/>
      <c r="R15" s="1579"/>
      <c r="S15" s="1583">
        <f t="shared" si="6"/>
        <v>1.0888719230202426</v>
      </c>
      <c r="T15" s="1583">
        <f t="shared" si="6"/>
        <v>0.7921407800252398</v>
      </c>
      <c r="U15" s="1583">
        <f t="shared" si="6"/>
        <v>0.22269483473740825</v>
      </c>
      <c r="V15" s="1585">
        <f t="shared" si="6"/>
        <v>0.93225797072088379</v>
      </c>
      <c r="W15" s="1585">
        <f t="shared" si="6"/>
        <v>0.82860997931644653</v>
      </c>
      <c r="X15" s="1582"/>
      <c r="Y15" s="1594"/>
      <c r="Z15" s="1583">
        <f t="shared" si="7"/>
        <v>1.0888719230202426</v>
      </c>
      <c r="AA15" s="1583">
        <f t="shared" si="7"/>
        <v>0.7921407800252398</v>
      </c>
      <c r="AB15" s="1583">
        <f t="shared" si="7"/>
        <v>0.22269483473740825</v>
      </c>
      <c r="AC15" s="1585">
        <f t="shared" si="8"/>
        <v>0.93225797072088379</v>
      </c>
      <c r="AD15" s="1585">
        <f t="shared" si="8"/>
        <v>0.82860997931644653</v>
      </c>
      <c r="AE15" s="1582"/>
      <c r="AF15" s="1611"/>
      <c r="AG15" s="1586">
        <f>IF(ISERROR(Z15*100000000/'Calc-Units'!$E$23)," ",Z15*100000000/'Calc-Units'!$E$23)</f>
        <v>4.2981420611151663E-3</v>
      </c>
      <c r="AH15" s="1586">
        <f>IF(ISERROR(AA15*100000000/'Calc-Units'!$D$23)," ",AA15*100000000/'Calc-Units'!$D$23)</f>
        <v>3.3043421642780001E-3</v>
      </c>
      <c r="AI15" s="1586">
        <f>IF(ISERROR(AB15*100000000/'Calc-Units'!$C$23)," ",AB15*100000000/'Calc-Units'!$C$23)</f>
        <v>1.3108409397859062E-3</v>
      </c>
      <c r="AJ15" s="1587">
        <f>IF(ISERROR(AC15*100000000/'Calc-Units'!$C$23)," ",AC15*100000000/'Calc-Units'!$C$23)</f>
        <v>5.4875180015003132E-3</v>
      </c>
      <c r="AK15" s="1612"/>
      <c r="AL15" s="1615">
        <v>0.52569999999999995</v>
      </c>
      <c r="AM15" s="1590">
        <f t="shared" si="9"/>
        <v>2.0316073339470901</v>
      </c>
      <c r="AN15" s="1591">
        <f t="shared" si="10"/>
        <v>1.8329681538731311</v>
      </c>
      <c r="AO15" s="1556"/>
      <c r="AP15" s="1556"/>
      <c r="AQ15" s="1583">
        <f t="shared" si="11"/>
        <v>0.51645195308850111</v>
      </c>
      <c r="AR15" s="1583">
        <f t="shared" si="11"/>
        <v>0.37571237196597129</v>
      </c>
      <c r="AS15" s="1583">
        <f t="shared" si="11"/>
        <v>0.10562416011595274</v>
      </c>
      <c r="AT15" s="1585">
        <f t="shared" si="11"/>
        <v>0.44216995551291521</v>
      </c>
      <c r="AU15" s="1585">
        <f t="shared" si="11"/>
        <v>0.39300971318979061</v>
      </c>
      <c r="AV15" s="1582"/>
      <c r="AW15" s="1612"/>
      <c r="AX15" s="1586">
        <f>IF(ISERROR(AQ15*100000000/'Calc-Units'!$E$23)," ",AQ15*100000000/'Calc-Units'!$E$23)</f>
        <v>2.0386087795869236E-3</v>
      </c>
      <c r="AY15" s="1586">
        <f>IF(ISERROR(AR15*100000000/'Calc-Units'!$D$23)," ",AR15*100000000/'Calc-Units'!$D$23)</f>
        <v>1.5672494885170557E-3</v>
      </c>
      <c r="AZ15" s="1586">
        <f>IF(ISERROR(AS15*100000000/'Calc-Units'!$C$23)," ",AS15*100000000/'Calc-Units'!$C$23)</f>
        <v>6.2173185774045531E-4</v>
      </c>
      <c r="BA15" s="1587">
        <f>IF(ISERROR(AT15*100000000/'Calc-Units'!$C$23)," ",AT15*100000000/'Calc-Units'!$C$23)</f>
        <v>2.6027297881115988E-3</v>
      </c>
      <c r="BC15" s="1594"/>
      <c r="BD15" s="1594"/>
    </row>
    <row r="16" spans="1:56" s="1497" customFormat="1">
      <c r="A16" s="1608"/>
      <c r="B16" s="2221"/>
      <c r="C16" s="1609" t="s">
        <v>579</v>
      </c>
      <c r="D16" s="1598">
        <f>'RRP 1.3'!M$12</f>
        <v>15.017576021327987</v>
      </c>
      <c r="E16" s="1598">
        <v>0</v>
      </c>
      <c r="F16" s="1598">
        <v>0</v>
      </c>
      <c r="G16" s="1598">
        <v>0</v>
      </c>
      <c r="H16" s="1598">
        <v>0</v>
      </c>
      <c r="I16" s="1598">
        <f t="shared" si="5"/>
        <v>15.017576021327987</v>
      </c>
      <c r="J16" s="1610"/>
      <c r="K16" s="1598" t="s">
        <v>893</v>
      </c>
      <c r="L16" s="1597">
        <f>IF(ISERROR(VLOOKUP($K16,'Calc-Drivers'!$B$17:$G$27,L$43,FALSE))," ",VLOOKUP($K16,'Calc-Drivers'!$B$17:$G$27,L$43,FALSE))</f>
        <v>0.28175718819621531</v>
      </c>
      <c r="M16" s="1597">
        <f>IF(ISERROR(VLOOKUP($K16,'Calc-Drivers'!$B$17:$G$27,M$43,FALSE))," ",VLOOKUP($K16,'Calc-Drivers'!$B$17:$G$27,M$43,FALSE))</f>
        <v>0.20497484976598029</v>
      </c>
      <c r="N16" s="1597">
        <f>IF(ISERROR(VLOOKUP($K16,'Calc-Drivers'!$B$17:$G$27,N$43,FALSE))," ",VLOOKUP($K16,'Calc-Drivers'!$B$17:$G$27,N$43,FALSE))</f>
        <v>5.7624656431026856E-2</v>
      </c>
      <c r="O16" s="1597">
        <f>IF(ISERROR(VLOOKUP($K16,'Calc-Drivers'!$B$17:$G$27,O$43,FALSE))," ",VLOOKUP($K16,'Calc-Drivers'!$B$17:$G$27,O$43,FALSE))</f>
        <v>0.24123166274252686</v>
      </c>
      <c r="P16" s="1597">
        <f>IF(ISERROR(VLOOKUP($K16,'Calc-Drivers'!$B$17:$G$27,P$43,FALSE))," ",VLOOKUP($K16,'Calc-Drivers'!$B$17:$G$27,P$43,FALSE))</f>
        <v>0.21441164286425066</v>
      </c>
      <c r="Q16" s="1578"/>
      <c r="R16" s="1579"/>
      <c r="S16" s="1583">
        <f t="shared" si="6"/>
        <v>4.23130999329228</v>
      </c>
      <c r="T16" s="1583">
        <f t="shared" si="6"/>
        <v>3.0782253888208921</v>
      </c>
      <c r="U16" s="1583">
        <f t="shared" si="6"/>
        <v>0.86538265865585251</v>
      </c>
      <c r="V16" s="1585">
        <f t="shared" si="6"/>
        <v>3.622714833987251</v>
      </c>
      <c r="W16" s="1585">
        <f t="shared" si="6"/>
        <v>3.2199431465717105</v>
      </c>
      <c r="X16" s="1582"/>
      <c r="Y16" s="1594"/>
      <c r="Z16" s="1583">
        <f t="shared" si="7"/>
        <v>4.23130999329228</v>
      </c>
      <c r="AA16" s="1583">
        <f t="shared" si="7"/>
        <v>3.0782253888208921</v>
      </c>
      <c r="AB16" s="1583">
        <f t="shared" si="7"/>
        <v>0.86538265865585251</v>
      </c>
      <c r="AC16" s="1585">
        <f t="shared" si="8"/>
        <v>3.622714833987251</v>
      </c>
      <c r="AD16" s="1585">
        <f t="shared" si="8"/>
        <v>3.2199431465717105</v>
      </c>
      <c r="AE16" s="1582"/>
      <c r="AF16" s="1611"/>
      <c r="AG16" s="1586">
        <f>IF(ISERROR(Z16*100000000/'Calc-Units'!$E$23)," ",Z16*100000000/'Calc-Units'!$E$23)</f>
        <v>1.670239728961069E-2</v>
      </c>
      <c r="AH16" s="1586">
        <f>IF(ISERROR(AA16*100000000/'Calc-Units'!$D$23)," ",AA16*100000000/'Calc-Units'!$D$23)</f>
        <v>1.2840533147539536E-2</v>
      </c>
      <c r="AI16" s="1586">
        <f>IF(ISERROR(AB16*100000000/'Calc-Units'!$C$23)," ",AB16*100000000/'Calc-Units'!$C$23)</f>
        <v>5.0938721541722003E-3</v>
      </c>
      <c r="AJ16" s="1587">
        <f>IF(ISERROR(AC16*100000000/'Calc-Units'!$C$23)," ",AC16*100000000/'Calc-Units'!$C$23)</f>
        <v>2.1324261620884771E-2</v>
      </c>
      <c r="AK16" s="1612"/>
      <c r="AL16" s="1615">
        <v>0.52569999999999995</v>
      </c>
      <c r="AM16" s="1590">
        <f t="shared" si="9"/>
        <v>7.8947397144121219</v>
      </c>
      <c r="AN16" s="1591">
        <f t="shared" si="10"/>
        <v>7.1228363069158647</v>
      </c>
      <c r="AO16" s="1556"/>
      <c r="AP16" s="1556"/>
      <c r="AQ16" s="1583">
        <f t="shared" si="11"/>
        <v>2.0069103298185285</v>
      </c>
      <c r="AR16" s="1583">
        <f t="shared" si="11"/>
        <v>1.4600023019177493</v>
      </c>
      <c r="AS16" s="1583">
        <f t="shared" si="11"/>
        <v>0.41045099500047089</v>
      </c>
      <c r="AT16" s="1585">
        <f t="shared" si="11"/>
        <v>1.7182536457601534</v>
      </c>
      <c r="AU16" s="1585">
        <f t="shared" si="11"/>
        <v>1.5272190344189625</v>
      </c>
      <c r="AV16" s="1582"/>
      <c r="AW16" s="1612"/>
      <c r="AX16" s="1586">
        <f>IF(ISERROR(AQ16*100000000/'Calc-Units'!$E$23)," ",AQ16*100000000/'Calc-Units'!$E$23)</f>
        <v>7.9219470344623517E-3</v>
      </c>
      <c r="AY16" s="1586">
        <f>IF(ISERROR(AR16*100000000/'Calc-Units'!$D$23)," ",AR16*100000000/'Calc-Units'!$D$23)</f>
        <v>6.0902648718780027E-3</v>
      </c>
      <c r="AZ16" s="1586">
        <f>IF(ISERROR(AS16*100000000/'Calc-Units'!$C$23)," ",AS16*100000000/'Calc-Units'!$C$23)</f>
        <v>2.4160235627238747E-3</v>
      </c>
      <c r="BA16" s="1587">
        <f>IF(ISERROR(AT16*100000000/'Calc-Units'!$C$23)," ",AT16*100000000/'Calc-Units'!$C$23)</f>
        <v>1.0114097286785646E-2</v>
      </c>
      <c r="BC16" s="1594"/>
      <c r="BD16" s="1594"/>
    </row>
    <row r="17" spans="1:56" s="1497" customFormat="1">
      <c r="A17" s="1608"/>
      <c r="B17" s="2221"/>
      <c r="C17" s="1609" t="s">
        <v>580</v>
      </c>
      <c r="D17" s="1598">
        <f>'RRP 1.3'!N$12</f>
        <v>2.6231913412623666</v>
      </c>
      <c r="E17" s="1598">
        <v>0</v>
      </c>
      <c r="F17" s="1598">
        <v>0</v>
      </c>
      <c r="G17" s="1598">
        <v>0</v>
      </c>
      <c r="H17" s="1598">
        <v>0</v>
      </c>
      <c r="I17" s="1598">
        <f t="shared" si="5"/>
        <v>2.6231913412623666</v>
      </c>
      <c r="J17" s="1610"/>
      <c r="K17" s="1598" t="s">
        <v>893</v>
      </c>
      <c r="L17" s="1597">
        <f>IF(ISERROR(VLOOKUP($K17,'Calc-Drivers'!$B$17:$G$27,L$43,FALSE))," ",VLOOKUP($K17,'Calc-Drivers'!$B$17:$G$27,L$43,FALSE))</f>
        <v>0.28175718819621531</v>
      </c>
      <c r="M17" s="1597">
        <f>IF(ISERROR(VLOOKUP($K17,'Calc-Drivers'!$B$17:$G$27,M$43,FALSE))," ",VLOOKUP($K17,'Calc-Drivers'!$B$17:$G$27,M$43,FALSE))</f>
        <v>0.20497484976598029</v>
      </c>
      <c r="N17" s="1597">
        <f>IF(ISERROR(VLOOKUP($K17,'Calc-Drivers'!$B$17:$G$27,N$43,FALSE))," ",VLOOKUP($K17,'Calc-Drivers'!$B$17:$G$27,N$43,FALSE))</f>
        <v>5.7624656431026856E-2</v>
      </c>
      <c r="O17" s="1597">
        <f>IF(ISERROR(VLOOKUP($K17,'Calc-Drivers'!$B$17:$G$27,O$43,FALSE))," ",VLOOKUP($K17,'Calc-Drivers'!$B$17:$G$27,O$43,FALSE))</f>
        <v>0.24123166274252686</v>
      </c>
      <c r="P17" s="1597">
        <f>IF(ISERROR(VLOOKUP($K17,'Calc-Drivers'!$B$17:$G$27,P$43,FALSE))," ",VLOOKUP($K17,'Calc-Drivers'!$B$17:$G$27,P$43,FALSE))</f>
        <v>0.21441164286425066</v>
      </c>
      <c r="Q17" s="1578"/>
      <c r="R17" s="1579"/>
      <c r="S17" s="1583">
        <f t="shared" si="6"/>
        <v>0.73910301641474307</v>
      </c>
      <c r="T17" s="1583">
        <f t="shared" si="6"/>
        <v>0.53768825108267393</v>
      </c>
      <c r="U17" s="1583">
        <f t="shared" si="6"/>
        <v>0.1511604997930884</v>
      </c>
      <c r="V17" s="1585">
        <f t="shared" si="6"/>
        <v>0.63279680894451995</v>
      </c>
      <c r="W17" s="1585">
        <f t="shared" si="6"/>
        <v>0.56244276502734125</v>
      </c>
      <c r="X17" s="1582"/>
      <c r="Y17" s="1594"/>
      <c r="Z17" s="1583">
        <f t="shared" si="7"/>
        <v>0.73910301641474307</v>
      </c>
      <c r="AA17" s="1583">
        <f t="shared" si="7"/>
        <v>0.53768825108267393</v>
      </c>
      <c r="AB17" s="1583">
        <f t="shared" si="7"/>
        <v>0.1511604997930884</v>
      </c>
      <c r="AC17" s="1585">
        <f t="shared" si="8"/>
        <v>0.63279680894451995</v>
      </c>
      <c r="AD17" s="1585">
        <f t="shared" si="8"/>
        <v>0.56244276502734125</v>
      </c>
      <c r="AE17" s="1582"/>
      <c r="AF17" s="1611"/>
      <c r="AG17" s="1586">
        <f>IF(ISERROR(Z17*100000000/'Calc-Units'!$E$23)," ",Z17*100000000/'Calc-Units'!$E$23)</f>
        <v>2.9174870755577773E-3</v>
      </c>
      <c r="AH17" s="1586">
        <f>IF(ISERROR(AA17*100000000/'Calc-Units'!$D$23)," ",AA17*100000000/'Calc-Units'!$D$23)</f>
        <v>2.2429169209452452E-3</v>
      </c>
      <c r="AI17" s="1586">
        <f>IF(ISERROR(AB17*100000000/'Calc-Units'!$C$23)," ",AB17*100000000/'Calc-Units'!$C$23)</f>
        <v>8.8977084646316899E-4</v>
      </c>
      <c r="AJ17" s="1587">
        <f>IF(ISERROR(AC17*100000000/'Calc-Units'!$C$23)," ",AC17*100000000/'Calc-Units'!$C$23)</f>
        <v>3.7248100734283375E-3</v>
      </c>
      <c r="AK17" s="1612"/>
      <c r="AL17" s="1615">
        <v>0.52569999999999995</v>
      </c>
      <c r="AM17" s="1590">
        <f t="shared" si="9"/>
        <v>1.3790116881016259</v>
      </c>
      <c r="AN17" s="1591">
        <f t="shared" si="10"/>
        <v>1.2441796531607408</v>
      </c>
      <c r="AO17" s="1556"/>
      <c r="AP17" s="1556"/>
      <c r="AQ17" s="1583">
        <f t="shared" si="11"/>
        <v>0.35055656068551266</v>
      </c>
      <c r="AR17" s="1583">
        <f t="shared" si="11"/>
        <v>0.25502553748851226</v>
      </c>
      <c r="AS17" s="1583">
        <f t="shared" si="11"/>
        <v>7.1695425051861841E-2</v>
      </c>
      <c r="AT17" s="1585">
        <f t="shared" si="11"/>
        <v>0.30013552648238584</v>
      </c>
      <c r="AU17" s="1585">
        <f t="shared" si="11"/>
        <v>0.266766603452468</v>
      </c>
      <c r="AV17" s="1582"/>
      <c r="AW17" s="1612"/>
      <c r="AX17" s="1586">
        <f>IF(ISERROR(AQ17*100000000/'Calc-Units'!$E$23)," ",AQ17*100000000/'Calc-Units'!$E$23)</f>
        <v>1.3837641199370538E-3</v>
      </c>
      <c r="AY17" s="1586">
        <f>IF(ISERROR(AR17*100000000/'Calc-Units'!$D$23)," ",AR17*100000000/'Calc-Units'!$D$23)</f>
        <v>1.0638154956043298E-3</v>
      </c>
      <c r="AZ17" s="1586">
        <f>IF(ISERROR(AS17*100000000/'Calc-Units'!$C$23)," ",AS17*100000000/'Calc-Units'!$C$23)</f>
        <v>4.2201831247748114E-4</v>
      </c>
      <c r="BA17" s="1587">
        <f>IF(ISERROR(AT17*100000000/'Calc-Units'!$C$23)," ",AT17*100000000/'Calc-Units'!$C$23)</f>
        <v>1.7666774178270606E-3</v>
      </c>
      <c r="BC17" s="1594"/>
      <c r="BD17" s="1594"/>
    </row>
    <row r="18" spans="1:56" s="1497" customFormat="1">
      <c r="A18" s="1608"/>
      <c r="B18" s="2221"/>
      <c r="C18" s="1609" t="s">
        <v>581</v>
      </c>
      <c r="D18" s="1598">
        <f>'RRP 1.3'!O$12</f>
        <v>1.1971922726956574</v>
      </c>
      <c r="E18" s="1598">
        <v>0</v>
      </c>
      <c r="F18" s="1598">
        <v>0</v>
      </c>
      <c r="G18" s="1598">
        <v>0</v>
      </c>
      <c r="H18" s="1598">
        <v>0</v>
      </c>
      <c r="I18" s="1598">
        <f t="shared" si="5"/>
        <v>1.1971922726956574</v>
      </c>
      <c r="J18" s="1610"/>
      <c r="K18" s="1598" t="s">
        <v>893</v>
      </c>
      <c r="L18" s="1597">
        <f>IF(ISERROR(VLOOKUP($K18,'Calc-Drivers'!$B$17:$G$27,L$43,FALSE))," ",VLOOKUP($K18,'Calc-Drivers'!$B$17:$G$27,L$43,FALSE))</f>
        <v>0.28175718819621531</v>
      </c>
      <c r="M18" s="1597">
        <f>IF(ISERROR(VLOOKUP($K18,'Calc-Drivers'!$B$17:$G$27,M$43,FALSE))," ",VLOOKUP($K18,'Calc-Drivers'!$B$17:$G$27,M$43,FALSE))</f>
        <v>0.20497484976598029</v>
      </c>
      <c r="N18" s="1597">
        <f>IF(ISERROR(VLOOKUP($K18,'Calc-Drivers'!$B$17:$G$27,N$43,FALSE))," ",VLOOKUP($K18,'Calc-Drivers'!$B$17:$G$27,N$43,FALSE))</f>
        <v>5.7624656431026856E-2</v>
      </c>
      <c r="O18" s="1597">
        <f>IF(ISERROR(VLOOKUP($K18,'Calc-Drivers'!$B$17:$G$27,O$43,FALSE))," ",VLOOKUP($K18,'Calc-Drivers'!$B$17:$G$27,O$43,FALSE))</f>
        <v>0.24123166274252686</v>
      </c>
      <c r="P18" s="1597">
        <f>IF(ISERROR(VLOOKUP($K18,'Calc-Drivers'!$B$17:$G$27,P$43,FALSE))," ",VLOOKUP($K18,'Calc-Drivers'!$B$17:$G$27,P$43,FALSE))</f>
        <v>0.21441164286425066</v>
      </c>
      <c r="Q18" s="1578"/>
      <c r="R18" s="1579"/>
      <c r="S18" s="1583">
        <f t="shared" si="6"/>
        <v>0.33731752848496505</v>
      </c>
      <c r="T18" s="1583">
        <f t="shared" si="6"/>
        <v>0.2453943062367849</v>
      </c>
      <c r="U18" s="1583">
        <f t="shared" si="6"/>
        <v>6.8987793395967473E-2</v>
      </c>
      <c r="V18" s="1585">
        <f t="shared" si="6"/>
        <v>0.28880068256487806</v>
      </c>
      <c r="W18" s="1585">
        <f t="shared" si="6"/>
        <v>0.25669196201306188</v>
      </c>
      <c r="X18" s="1582"/>
      <c r="Y18" s="1594"/>
      <c r="Z18" s="1583">
        <f t="shared" si="7"/>
        <v>0.33731752848496505</v>
      </c>
      <c r="AA18" s="1583">
        <f t="shared" si="7"/>
        <v>0.2453943062367849</v>
      </c>
      <c r="AB18" s="1583">
        <f t="shared" si="7"/>
        <v>6.8987793395967473E-2</v>
      </c>
      <c r="AC18" s="1585">
        <f t="shared" si="8"/>
        <v>0.28880068256487806</v>
      </c>
      <c r="AD18" s="1585">
        <f t="shared" si="8"/>
        <v>0.25669196201306188</v>
      </c>
      <c r="AE18" s="1582"/>
      <c r="AF18" s="1611"/>
      <c r="AG18" s="1586">
        <f>IF(ISERROR(Z18*100000000/'Calc-Units'!$E$23)," ",Z18*100000000/'Calc-Units'!$E$23)</f>
        <v>1.3315052270896771E-3</v>
      </c>
      <c r="AH18" s="1586">
        <f>IF(ISERROR(AA18*100000000/'Calc-Units'!$D$23)," ",AA18*100000000/'Calc-Units'!$D$23)</f>
        <v>1.0236397032180565E-3</v>
      </c>
      <c r="AI18" s="1586">
        <f>IF(ISERROR(AB18*100000000/'Calc-Units'!$C$23)," ",AB18*100000000/'Calc-Units'!$C$23)</f>
        <v>4.0608047346746647E-4</v>
      </c>
      <c r="AJ18" s="1587">
        <f>IF(ISERROR(AC18*100000000/'Calc-Units'!$C$23)," ",AC18*100000000/'Calc-Units'!$C$23)</f>
        <v>1.6999575162600909E-3</v>
      </c>
      <c r="AK18" s="1612"/>
      <c r="AL18" s="1615">
        <v>0.52569999999999995</v>
      </c>
      <c r="AM18" s="1590">
        <f t="shared" si="9"/>
        <v>0.62936397775610708</v>
      </c>
      <c r="AN18" s="1591">
        <f t="shared" si="10"/>
        <v>0.56782829493955034</v>
      </c>
      <c r="AO18" s="1556"/>
      <c r="AP18" s="1556"/>
      <c r="AQ18" s="1583">
        <f t="shared" si="11"/>
        <v>0.15998970376041893</v>
      </c>
      <c r="AR18" s="1583">
        <f t="shared" si="11"/>
        <v>0.11639051944810709</v>
      </c>
      <c r="AS18" s="1583">
        <f t="shared" si="11"/>
        <v>3.2720910407707374E-2</v>
      </c>
      <c r="AT18" s="1585">
        <f t="shared" si="11"/>
        <v>0.13697816374052169</v>
      </c>
      <c r="AU18" s="1585">
        <f t="shared" si="11"/>
        <v>0.12174899758279527</v>
      </c>
      <c r="AV18" s="1582"/>
      <c r="AW18" s="1612"/>
      <c r="AX18" s="1586">
        <f>IF(ISERROR(AQ18*100000000/'Calc-Units'!$E$23)," ",AQ18*100000000/'Calc-Units'!$E$23)</f>
        <v>6.3153292920863394E-4</v>
      </c>
      <c r="AY18" s="1586">
        <f>IF(ISERROR(AR18*100000000/'Calc-Units'!$D$23)," ",AR18*100000000/'Calc-Units'!$D$23)</f>
        <v>4.8551231123632427E-4</v>
      </c>
      <c r="AZ18" s="1586">
        <f>IF(ISERROR(AS18*100000000/'Calc-Units'!$C$23)," ",AS18*100000000/'Calc-Units'!$C$23)</f>
        <v>1.9260396856561935E-4</v>
      </c>
      <c r="BA18" s="1587">
        <f>IF(ISERROR(AT18*100000000/'Calc-Units'!$C$23)," ",AT18*100000000/'Calc-Units'!$C$23)</f>
        <v>8.0628984996216127E-4</v>
      </c>
      <c r="BC18" s="1594"/>
      <c r="BD18" s="1594"/>
    </row>
    <row r="19" spans="1:56" s="1497" customFormat="1">
      <c r="A19" s="1608"/>
      <c r="B19" s="2221"/>
      <c r="C19" s="1609" t="s">
        <v>582</v>
      </c>
      <c r="D19" s="1598">
        <f>'RRP 1.3'!P$12</f>
        <v>1.3730280456278914</v>
      </c>
      <c r="E19" s="1598">
        <v>0</v>
      </c>
      <c r="F19" s="1598">
        <v>0</v>
      </c>
      <c r="G19" s="1598">
        <v>0</v>
      </c>
      <c r="H19" s="1598">
        <v>0</v>
      </c>
      <c r="I19" s="1598">
        <f t="shared" si="5"/>
        <v>1.3730280456278914</v>
      </c>
      <c r="J19" s="1610"/>
      <c r="K19" s="1598" t="s">
        <v>893</v>
      </c>
      <c r="L19" s="1597">
        <f>IF(ISERROR(VLOOKUP($K19,'Calc-Drivers'!$B$17:$G$27,L$43,FALSE))," ",VLOOKUP($K19,'Calc-Drivers'!$B$17:$G$27,L$43,FALSE))</f>
        <v>0.28175718819621531</v>
      </c>
      <c r="M19" s="1597">
        <f>IF(ISERROR(VLOOKUP($K19,'Calc-Drivers'!$B$17:$G$27,M$43,FALSE))," ",VLOOKUP($K19,'Calc-Drivers'!$B$17:$G$27,M$43,FALSE))</f>
        <v>0.20497484976598029</v>
      </c>
      <c r="N19" s="1597">
        <f>IF(ISERROR(VLOOKUP($K19,'Calc-Drivers'!$B$17:$G$27,N$43,FALSE))," ",VLOOKUP($K19,'Calc-Drivers'!$B$17:$G$27,N$43,FALSE))</f>
        <v>5.7624656431026856E-2</v>
      </c>
      <c r="O19" s="1597">
        <f>IF(ISERROR(VLOOKUP($K19,'Calc-Drivers'!$B$17:$G$27,O$43,FALSE))," ",VLOOKUP($K19,'Calc-Drivers'!$B$17:$G$27,O$43,FALSE))</f>
        <v>0.24123166274252686</v>
      </c>
      <c r="P19" s="1597">
        <f>IF(ISERROR(VLOOKUP($K19,'Calc-Drivers'!$B$17:$G$27,P$43,FALSE))," ",VLOOKUP($K19,'Calc-Drivers'!$B$17:$G$27,P$43,FALSE))</f>
        <v>0.21441164286425066</v>
      </c>
      <c r="Q19" s="1578"/>
      <c r="R19" s="1579"/>
      <c r="S19" s="1583">
        <f t="shared" si="6"/>
        <v>0.38686052145065952</v>
      </c>
      <c r="T19" s="1583">
        <f t="shared" si="6"/>
        <v>0.2814362173770546</v>
      </c>
      <c r="U19" s="1583">
        <f t="shared" si="6"/>
        <v>7.9120269399471505E-2</v>
      </c>
      <c r="V19" s="1585">
        <f t="shared" si="6"/>
        <v>0.33121783843893826</v>
      </c>
      <c r="W19" s="1585">
        <f t="shared" si="6"/>
        <v>0.29439319896176752</v>
      </c>
      <c r="X19" s="1582"/>
      <c r="Y19" s="1594"/>
      <c r="Z19" s="1583">
        <f t="shared" si="7"/>
        <v>0.38686052145065952</v>
      </c>
      <c r="AA19" s="1583">
        <f t="shared" si="7"/>
        <v>0.2814362173770546</v>
      </c>
      <c r="AB19" s="1583">
        <f t="shared" si="7"/>
        <v>7.9120269399471505E-2</v>
      </c>
      <c r="AC19" s="1585">
        <f t="shared" si="8"/>
        <v>0.33121783843893826</v>
      </c>
      <c r="AD19" s="1585">
        <f t="shared" si="8"/>
        <v>0.29439319896176752</v>
      </c>
      <c r="AE19" s="1582"/>
      <c r="AF19" s="1611"/>
      <c r="AG19" s="1586">
        <f>IF(ISERROR(Z19*100000000/'Calc-Units'!$E$23)," ",Z19*100000000/'Calc-Units'!$E$23)</f>
        <v>1.5270680085311687E-3</v>
      </c>
      <c r="AH19" s="1586">
        <f>IF(ISERROR(AA19*100000000/'Calc-Units'!$D$23)," ",AA19*100000000/'Calc-Units'!$D$23)</f>
        <v>1.1739852095536342E-3</v>
      </c>
      <c r="AI19" s="1586">
        <f>IF(ISERROR(AB19*100000000/'Calc-Units'!$C$23)," ",AB19*100000000/'Calc-Units'!$C$23)</f>
        <v>4.6572291817191134E-4</v>
      </c>
      <c r="AJ19" s="1587">
        <f>IF(ISERROR(AC19*100000000/'Calc-Units'!$C$23)," ",AC19*100000000/'Calc-Units'!$C$23)</f>
        <v>1.9496361607358908E-3</v>
      </c>
      <c r="AK19" s="1612"/>
      <c r="AL19" s="1615">
        <v>0.52569999999999995</v>
      </c>
      <c r="AM19" s="1590">
        <f t="shared" si="9"/>
        <v>0.72180084358658247</v>
      </c>
      <c r="AN19" s="1591">
        <f t="shared" si="10"/>
        <v>0.65122720204130891</v>
      </c>
      <c r="AO19" s="1556"/>
      <c r="AP19" s="1556"/>
      <c r="AQ19" s="1583">
        <f t="shared" si="11"/>
        <v>0.18348794532404783</v>
      </c>
      <c r="AR19" s="1583">
        <f t="shared" si="11"/>
        <v>0.13348519790193702</v>
      </c>
      <c r="AS19" s="1583">
        <f t="shared" si="11"/>
        <v>3.7526743776169338E-2</v>
      </c>
      <c r="AT19" s="1585">
        <f t="shared" si="11"/>
        <v>0.15709662077158842</v>
      </c>
      <c r="AU19" s="1585">
        <f t="shared" si="11"/>
        <v>0.13963069426756636</v>
      </c>
      <c r="AV19" s="1582"/>
      <c r="AW19" s="1612"/>
      <c r="AX19" s="1586">
        <f>IF(ISERROR(AQ19*100000000/'Calc-Units'!$E$23)," ",AQ19*100000000/'Calc-Units'!$E$23)</f>
        <v>7.242883564463334E-4</v>
      </c>
      <c r="AY19" s="1586">
        <f>IF(ISERROR(AR19*100000000/'Calc-Units'!$D$23)," ",AR19*100000000/'Calc-Units'!$D$23)</f>
        <v>5.5682118489128879E-4</v>
      </c>
      <c r="AZ19" s="1586">
        <f>IF(ISERROR(AS19*100000000/'Calc-Units'!$C$23)," ",AS19*100000000/'Calc-Units'!$C$23)</f>
        <v>2.2089238008893758E-4</v>
      </c>
      <c r="BA19" s="1587">
        <f>IF(ISERROR(AT19*100000000/'Calc-Units'!$C$23)," ",AT19*100000000/'Calc-Units'!$C$23)</f>
        <v>9.2471243103703295E-4</v>
      </c>
      <c r="BC19" s="1594"/>
      <c r="BD19" s="1594"/>
    </row>
    <row r="20" spans="1:56" s="1497" customFormat="1">
      <c r="A20" s="1608"/>
      <c r="B20" s="2221"/>
      <c r="C20" s="1609" t="s">
        <v>583</v>
      </c>
      <c r="D20" s="1598">
        <f>'RRP 1.3'!Q$12</f>
        <v>1.137985595231386</v>
      </c>
      <c r="E20" s="1598">
        <v>0</v>
      </c>
      <c r="F20" s="1598">
        <v>0</v>
      </c>
      <c r="G20" s="1598">
        <v>0</v>
      </c>
      <c r="H20" s="1598">
        <v>0</v>
      </c>
      <c r="I20" s="1598">
        <f t="shared" si="5"/>
        <v>1.137985595231386</v>
      </c>
      <c r="J20" s="1610"/>
      <c r="K20" s="1598" t="s">
        <v>893</v>
      </c>
      <c r="L20" s="1597">
        <f>IF(ISERROR(VLOOKUP($K20,'Calc-Drivers'!$B$17:$G$27,L$43,FALSE))," ",VLOOKUP($K20,'Calc-Drivers'!$B$17:$G$27,L$43,FALSE))</f>
        <v>0.28175718819621531</v>
      </c>
      <c r="M20" s="1597">
        <f>IF(ISERROR(VLOOKUP($K20,'Calc-Drivers'!$B$17:$G$27,M$43,FALSE))," ",VLOOKUP($K20,'Calc-Drivers'!$B$17:$G$27,M$43,FALSE))</f>
        <v>0.20497484976598029</v>
      </c>
      <c r="N20" s="1597">
        <f>IF(ISERROR(VLOOKUP($K20,'Calc-Drivers'!$B$17:$G$27,N$43,FALSE))," ",VLOOKUP($K20,'Calc-Drivers'!$B$17:$G$27,N$43,FALSE))</f>
        <v>5.7624656431026856E-2</v>
      </c>
      <c r="O20" s="1597">
        <f>IF(ISERROR(VLOOKUP($K20,'Calc-Drivers'!$B$17:$G$27,O$43,FALSE))," ",VLOOKUP($K20,'Calc-Drivers'!$B$17:$G$27,O$43,FALSE))</f>
        <v>0.24123166274252686</v>
      </c>
      <c r="P20" s="1597">
        <f>IF(ISERROR(VLOOKUP($K20,'Calc-Drivers'!$B$17:$G$27,P$43,FALSE))," ",VLOOKUP($K20,'Calc-Drivers'!$B$17:$G$27,P$43,FALSE))</f>
        <v>0.21441164286425066</v>
      </c>
      <c r="Q20" s="1578"/>
      <c r="R20" s="1579"/>
      <c r="S20" s="1583">
        <f t="shared" si="6"/>
        <v>0.3206356215201917</v>
      </c>
      <c r="T20" s="1583">
        <f t="shared" si="6"/>
        <v>0.233258426418403</v>
      </c>
      <c r="U20" s="1583">
        <f t="shared" si="6"/>
        <v>6.557602894866621E-2</v>
      </c>
      <c r="V20" s="1585">
        <f t="shared" si="6"/>
        <v>0.27451815731471141</v>
      </c>
      <c r="W20" s="1585">
        <f t="shared" si="6"/>
        <v>0.24399736102941363</v>
      </c>
      <c r="X20" s="1582"/>
      <c r="Y20" s="1594"/>
      <c r="Z20" s="1583">
        <f t="shared" si="7"/>
        <v>0.3206356215201917</v>
      </c>
      <c r="AA20" s="1583">
        <f t="shared" si="7"/>
        <v>0.233258426418403</v>
      </c>
      <c r="AB20" s="1583">
        <f t="shared" si="7"/>
        <v>6.557602894866621E-2</v>
      </c>
      <c r="AC20" s="1585">
        <f t="shared" si="8"/>
        <v>0.27451815731471141</v>
      </c>
      <c r="AD20" s="1585">
        <f t="shared" si="8"/>
        <v>0.24399736102941363</v>
      </c>
      <c r="AE20" s="1582"/>
      <c r="AF20" s="1611"/>
      <c r="AG20" s="1586">
        <f>IF(ISERROR(Z20*100000000/'Calc-Units'!$E$23)," ",Z20*100000000/'Calc-Units'!$E$23)</f>
        <v>1.2656561547892157E-3</v>
      </c>
      <c r="AH20" s="1586">
        <f>IF(ISERROR(AA20*100000000/'Calc-Units'!$D$23)," ",AA20*100000000/'Calc-Units'!$D$23)</f>
        <v>9.730160004676287E-4</v>
      </c>
      <c r="AI20" s="1586">
        <f>IF(ISERROR(AB20*100000000/'Calc-Units'!$C$23)," ",AB20*100000000/'Calc-Units'!$C$23)</f>
        <v>3.8599792184608716E-4</v>
      </c>
      <c r="AJ20" s="1587">
        <f>IF(ISERROR(AC20*100000000/'Calc-Units'!$C$23)," ",AC20*100000000/'Calc-Units'!$C$23)</f>
        <v>1.6158867795341104E-3</v>
      </c>
      <c r="AK20" s="1612"/>
      <c r="AL20" s="1615">
        <v>0.52569999999999995</v>
      </c>
      <c r="AM20" s="1590">
        <f t="shared" si="9"/>
        <v>0.5982390274131395</v>
      </c>
      <c r="AN20" s="1591">
        <f t="shared" si="10"/>
        <v>0.53974656781824648</v>
      </c>
      <c r="AO20" s="1556"/>
      <c r="AP20" s="1556"/>
      <c r="AQ20" s="1583">
        <f t="shared" si="11"/>
        <v>0.15207747528702695</v>
      </c>
      <c r="AR20" s="1583">
        <f t="shared" si="11"/>
        <v>0.11063447165024856</v>
      </c>
      <c r="AS20" s="1583">
        <f t="shared" si="11"/>
        <v>3.1102710530352386E-2</v>
      </c>
      <c r="AT20" s="1585">
        <f t="shared" si="11"/>
        <v>0.13020396201436762</v>
      </c>
      <c r="AU20" s="1585">
        <f t="shared" si="11"/>
        <v>0.1157279483362509</v>
      </c>
      <c r="AV20" s="1582"/>
      <c r="AW20" s="1612"/>
      <c r="AX20" s="1586">
        <f>IF(ISERROR(AQ20*100000000/'Calc-Units'!$E$23)," ",AQ20*100000000/'Calc-Units'!$E$23)</f>
        <v>6.0030071421652512E-4</v>
      </c>
      <c r="AY20" s="1586">
        <f>IF(ISERROR(AR20*100000000/'Calc-Units'!$D$23)," ",AR20*100000000/'Calc-Units'!$D$23)</f>
        <v>4.6150148902179638E-4</v>
      </c>
      <c r="AZ20" s="1586">
        <f>IF(ISERROR(AS20*100000000/'Calc-Units'!$C$23)," ",AS20*100000000/'Calc-Units'!$C$23)</f>
        <v>1.8307881433159915E-4</v>
      </c>
      <c r="BA20" s="1587">
        <f>IF(ISERROR(AT20*100000000/'Calc-Units'!$C$23)," ",AT20*100000000/'Calc-Units'!$C$23)</f>
        <v>7.6641509953302852E-4</v>
      </c>
      <c r="BC20" s="1594"/>
      <c r="BD20" s="1594"/>
    </row>
    <row r="21" spans="1:56" s="1497" customFormat="1">
      <c r="A21" s="1608"/>
      <c r="B21" s="2221"/>
      <c r="C21" s="1609" t="s">
        <v>584</v>
      </c>
      <c r="D21" s="1598">
        <f>'RRP 1.3'!R$12</f>
        <v>2.0073828743963098</v>
      </c>
      <c r="E21" s="1598">
        <v>0</v>
      </c>
      <c r="F21" s="1598">
        <v>0</v>
      </c>
      <c r="G21" s="1598">
        <v>0</v>
      </c>
      <c r="H21" s="1598">
        <v>0</v>
      </c>
      <c r="I21" s="1598">
        <f t="shared" si="5"/>
        <v>2.0073828743963098</v>
      </c>
      <c r="J21" s="1610"/>
      <c r="K21" s="1598" t="s">
        <v>893</v>
      </c>
      <c r="L21" s="1597">
        <f>IF(ISERROR(VLOOKUP($K21,'Calc-Drivers'!$B$17:$G$27,L$43,FALSE))," ",VLOOKUP($K21,'Calc-Drivers'!$B$17:$G$27,L$43,FALSE))</f>
        <v>0.28175718819621531</v>
      </c>
      <c r="M21" s="1597">
        <f>IF(ISERROR(VLOOKUP($K21,'Calc-Drivers'!$B$17:$G$27,M$43,FALSE))," ",VLOOKUP($K21,'Calc-Drivers'!$B$17:$G$27,M$43,FALSE))</f>
        <v>0.20497484976598029</v>
      </c>
      <c r="N21" s="1597">
        <f>IF(ISERROR(VLOOKUP($K21,'Calc-Drivers'!$B$17:$G$27,N$43,FALSE))," ",VLOOKUP($K21,'Calc-Drivers'!$B$17:$G$27,N$43,FALSE))</f>
        <v>5.7624656431026856E-2</v>
      </c>
      <c r="O21" s="1597">
        <f>IF(ISERROR(VLOOKUP($K21,'Calc-Drivers'!$B$17:$G$27,O$43,FALSE))," ",VLOOKUP($K21,'Calc-Drivers'!$B$17:$G$27,O$43,FALSE))</f>
        <v>0.24123166274252686</v>
      </c>
      <c r="P21" s="1597">
        <f>IF(ISERROR(VLOOKUP($K21,'Calc-Drivers'!$B$17:$G$27,P$43,FALSE))," ",VLOOKUP($K21,'Calc-Drivers'!$B$17:$G$27,P$43,FALSE))</f>
        <v>0.21441164286425066</v>
      </c>
      <c r="Q21" s="1578"/>
      <c r="R21" s="1579"/>
      <c r="S21" s="1583">
        <f t="shared" si="6"/>
        <v>0.56559455432314065</v>
      </c>
      <c r="T21" s="1583">
        <f t="shared" si="6"/>
        <v>0.41146300310218531</v>
      </c>
      <c r="U21" s="1583">
        <f t="shared" si="6"/>
        <v>0.1156747484626145</v>
      </c>
      <c r="V21" s="1585">
        <f t="shared" si="6"/>
        <v>0.48424430855149475</v>
      </c>
      <c r="W21" s="1585">
        <f t="shared" si="6"/>
        <v>0.43040625995687454</v>
      </c>
      <c r="X21" s="1582"/>
      <c r="Y21" s="1594"/>
      <c r="Z21" s="1583">
        <f t="shared" si="7"/>
        <v>0.56559455432314065</v>
      </c>
      <c r="AA21" s="1583">
        <f t="shared" si="7"/>
        <v>0.41146300310218531</v>
      </c>
      <c r="AB21" s="1583">
        <f t="shared" si="7"/>
        <v>0.1156747484626145</v>
      </c>
      <c r="AC21" s="1585">
        <f t="shared" si="8"/>
        <v>0.48424430855149475</v>
      </c>
      <c r="AD21" s="1585">
        <f t="shared" si="8"/>
        <v>0.43040625995687454</v>
      </c>
      <c r="AE21" s="1582"/>
      <c r="AF21" s="1611"/>
      <c r="AG21" s="1586">
        <f>IF(ISERROR(Z21*100000000/'Calc-Units'!$E$23)," ",Z21*100000000/'Calc-Units'!$E$23)</f>
        <v>2.2325910808049963E-3</v>
      </c>
      <c r="AH21" s="1586">
        <f>IF(ISERROR(AA21*100000000/'Calc-Units'!$D$23)," ",AA21*100000000/'Calc-Units'!$D$23)</f>
        <v>1.716379947195345E-3</v>
      </c>
      <c r="AI21" s="1586">
        <f>IF(ISERROR(AB21*100000000/'Calc-Units'!$C$23)," ",AB21*100000000/'Calc-Units'!$C$23)</f>
        <v>6.808922899492868E-4</v>
      </c>
      <c r="AJ21" s="1587">
        <f>IF(ISERROR(AC21*100000000/'Calc-Units'!$C$23)," ",AC21*100000000/'Calc-Units'!$C$23)</f>
        <v>2.8503906040573722E-3</v>
      </c>
      <c r="AK21" s="1612"/>
      <c r="AL21" s="1615">
        <v>0.52569999999999995</v>
      </c>
      <c r="AM21" s="1590">
        <f t="shared" si="9"/>
        <v>1.05528117707014</v>
      </c>
      <c r="AN21" s="1591">
        <f t="shared" si="10"/>
        <v>0.95210169732616989</v>
      </c>
      <c r="AO21" s="1556"/>
      <c r="AP21" s="1556"/>
      <c r="AQ21" s="1583">
        <f t="shared" si="11"/>
        <v>0.26826149711546565</v>
      </c>
      <c r="AR21" s="1583">
        <f t="shared" si="11"/>
        <v>0.19515690237136651</v>
      </c>
      <c r="AS21" s="1583">
        <f t="shared" si="11"/>
        <v>5.4864533195818063E-2</v>
      </c>
      <c r="AT21" s="1585">
        <f t="shared" si="11"/>
        <v>0.229677075545974</v>
      </c>
      <c r="AU21" s="1585">
        <f t="shared" si="11"/>
        <v>0.20414168909754563</v>
      </c>
      <c r="AV21" s="1582"/>
      <c r="AW21" s="1612"/>
      <c r="AX21" s="1586">
        <f>IF(ISERROR(AQ21*100000000/'Calc-Units'!$E$23)," ",AQ21*100000000/'Calc-Units'!$E$23)</f>
        <v>1.0589179496258098E-3</v>
      </c>
      <c r="AY21" s="1586">
        <f>IF(ISERROR(AR21*100000000/'Calc-Units'!$D$23)," ",AR21*100000000/'Calc-Units'!$D$23)</f>
        <v>8.140790089547523E-4</v>
      </c>
      <c r="AZ21" s="1586">
        <f>IF(ISERROR(AS21*100000000/'Calc-Units'!$C$23)," ",AS21*100000000/'Calc-Units'!$C$23)</f>
        <v>3.2294721312294683E-4</v>
      </c>
      <c r="BA21" s="1587">
        <f>IF(ISERROR(AT21*100000000/'Calc-Units'!$C$23)," ",AT21*100000000/'Calc-Units'!$C$23)</f>
        <v>1.3519402635044117E-3</v>
      </c>
      <c r="BC21" s="1594"/>
      <c r="BD21" s="1594"/>
    </row>
    <row r="22" spans="1:56" s="1497" customFormat="1">
      <c r="A22" s="1608"/>
      <c r="B22" s="2221"/>
      <c r="C22" s="1609" t="s">
        <v>585</v>
      </c>
      <c r="D22" s="1598">
        <f>'RRP 1.3'!S$12</f>
        <v>12.846120169989643</v>
      </c>
      <c r="E22" s="1598">
        <v>0</v>
      </c>
      <c r="F22" s="1598">
        <v>0</v>
      </c>
      <c r="G22" s="1598">
        <v>0</v>
      </c>
      <c r="H22" s="1598">
        <v>0</v>
      </c>
      <c r="I22" s="1598">
        <f t="shared" si="5"/>
        <v>12.846120169989643</v>
      </c>
      <c r="J22" s="1610"/>
      <c r="K22" s="1598" t="s">
        <v>895</v>
      </c>
      <c r="L22" s="1597" t="str">
        <f>IF(ISERROR(VLOOKUP($K22,'Calc-Drivers'!$B$17:$G$27,L$43,FALSE))," ",VLOOKUP($K22,'Calc-Drivers'!$B$17:$G$27,L$43,FALSE))</f>
        <v xml:space="preserve"> </v>
      </c>
      <c r="M22" s="1597" t="str">
        <f>IF(ISERROR(VLOOKUP($K22,'Calc-Drivers'!$B$17:$G$27,M$43,FALSE))," ",VLOOKUP($K22,'Calc-Drivers'!$B$17:$G$27,M$43,FALSE))</f>
        <v xml:space="preserve"> </v>
      </c>
      <c r="N22" s="1597" t="str">
        <f>IF(ISERROR(VLOOKUP($K22,'Calc-Drivers'!$B$17:$G$27,N$43,FALSE))," ",VLOOKUP($K22,'Calc-Drivers'!$B$17:$G$27,N$43,FALSE))</f>
        <v xml:space="preserve"> </v>
      </c>
      <c r="O22" s="1597" t="str">
        <f>IF(ISERROR(VLOOKUP($K22,'Calc-Drivers'!$B$17:$G$27,O$43,FALSE))," ",VLOOKUP($K22,'Calc-Drivers'!$B$17:$G$27,O$43,FALSE))</f>
        <v xml:space="preserve"> </v>
      </c>
      <c r="P22" s="1597" t="str">
        <f>IF(ISERROR(VLOOKUP($K22,'Calc-Drivers'!$B$17:$G$27,P$43,FALSE))," ",VLOOKUP($K22,'Calc-Drivers'!$B$17:$G$27,P$43,FALSE))</f>
        <v xml:space="preserve"> </v>
      </c>
      <c r="Q22" s="1578"/>
      <c r="R22" s="1579"/>
      <c r="S22" s="1583" t="str">
        <f t="shared" si="6"/>
        <v xml:space="preserve"> </v>
      </c>
      <c r="T22" s="1583" t="str">
        <f t="shared" si="6"/>
        <v xml:space="preserve"> </v>
      </c>
      <c r="U22" s="1583" t="str">
        <f t="shared" si="6"/>
        <v xml:space="preserve"> </v>
      </c>
      <c r="V22" s="1585" t="str">
        <f t="shared" si="6"/>
        <v xml:space="preserve"> </v>
      </c>
      <c r="W22" s="1585" t="str">
        <f t="shared" si="6"/>
        <v xml:space="preserve"> </v>
      </c>
      <c r="X22" s="1582"/>
      <c r="Y22" s="1594"/>
      <c r="Z22" s="1583" t="str">
        <f t="shared" si="7"/>
        <v xml:space="preserve"> </v>
      </c>
      <c r="AA22" s="1583" t="str">
        <f t="shared" si="7"/>
        <v xml:space="preserve"> </v>
      </c>
      <c r="AB22" s="1583" t="str">
        <f t="shared" si="7"/>
        <v xml:space="preserve"> </v>
      </c>
      <c r="AC22" s="1585" t="str">
        <f t="shared" si="8"/>
        <v xml:space="preserve"> </v>
      </c>
      <c r="AD22" s="1585" t="str">
        <f t="shared" si="8"/>
        <v xml:space="preserve"> </v>
      </c>
      <c r="AE22" s="1582"/>
      <c r="AF22" s="1611"/>
      <c r="AG22" s="1586" t="str">
        <f>IF(ISERROR(Z22*100000000/'Calc-Units'!$E$23)," ",Z22*100000000/'Calc-Units'!$E$23)</f>
        <v xml:space="preserve"> </v>
      </c>
      <c r="AH22" s="1586" t="str">
        <f>IF(ISERROR(AA22*100000000/'Calc-Units'!$D$23)," ",AA22*100000000/'Calc-Units'!$D$23)</f>
        <v xml:space="preserve"> </v>
      </c>
      <c r="AI22" s="1586" t="str">
        <f>IF(ISERROR(AB22*100000000/'Calc-Units'!$C$23)," ",AB22*100000000/'Calc-Units'!$C$23)</f>
        <v xml:space="preserve"> </v>
      </c>
      <c r="AJ22" s="1587" t="str">
        <f>IF(ISERROR(AC22*100000000/'Calc-Units'!$C$23)," ",AC22*100000000/'Calc-Units'!$C$23)</f>
        <v xml:space="preserve"> </v>
      </c>
      <c r="AK22" s="1612"/>
      <c r="AL22" s="1615">
        <v>0.52569999999999995</v>
      </c>
      <c r="AM22" s="1590">
        <f t="shared" si="9"/>
        <v>6.7532053733635546</v>
      </c>
      <c r="AN22" s="1591">
        <f t="shared" si="10"/>
        <v>6.0929147966260881</v>
      </c>
      <c r="AO22" s="1556"/>
      <c r="AP22" s="1556"/>
      <c r="AQ22" s="1583" t="str">
        <f t="shared" si="11"/>
        <v xml:space="preserve"> </v>
      </c>
      <c r="AR22" s="1583" t="str">
        <f t="shared" si="11"/>
        <v xml:space="preserve"> </v>
      </c>
      <c r="AS22" s="1583" t="str">
        <f t="shared" si="11"/>
        <v xml:space="preserve"> </v>
      </c>
      <c r="AT22" s="1585" t="str">
        <f t="shared" si="11"/>
        <v xml:space="preserve"> </v>
      </c>
      <c r="AU22" s="1585" t="str">
        <f t="shared" si="11"/>
        <v xml:space="preserve"> </v>
      </c>
      <c r="AV22" s="1582"/>
      <c r="AW22" s="1612"/>
      <c r="AX22" s="1586" t="str">
        <f>IF(ISERROR(AQ22*100000000/'Calc-Units'!$E$23)," ",AQ22*100000000/'Calc-Units'!$E$23)</f>
        <v xml:space="preserve"> </v>
      </c>
      <c r="AY22" s="1586" t="str">
        <f>IF(ISERROR(AR22*100000000/'Calc-Units'!$D$23)," ",AR22*100000000/'Calc-Units'!$D$23)</f>
        <v xml:space="preserve"> </v>
      </c>
      <c r="AZ22" s="1586" t="str">
        <f>IF(ISERROR(AS22*100000000/'Calc-Units'!$C$23)," ",AS22*100000000/'Calc-Units'!$C$23)</f>
        <v xml:space="preserve"> </v>
      </c>
      <c r="BA22" s="1587" t="str">
        <f>IF(ISERROR(AT22*100000000/'Calc-Units'!$C$23)," ",AT22*100000000/'Calc-Units'!$C$23)</f>
        <v xml:space="preserve"> </v>
      </c>
      <c r="BC22" s="1594"/>
      <c r="BD22" s="1594"/>
    </row>
    <row r="23" spans="1:56" s="1497" customFormat="1">
      <c r="A23" s="1608"/>
      <c r="B23" s="2221"/>
      <c r="C23" s="1609" t="s">
        <v>586</v>
      </c>
      <c r="D23" s="1598">
        <f>'RRP 1.3'!T$12</f>
        <v>6.9050026314811834</v>
      </c>
      <c r="E23" s="1598">
        <v>0</v>
      </c>
      <c r="F23" s="1598">
        <v>0</v>
      </c>
      <c r="G23" s="1598">
        <v>0</v>
      </c>
      <c r="H23" s="1598">
        <v>0</v>
      </c>
      <c r="I23" s="1598">
        <f t="shared" si="5"/>
        <v>6.9050026314811834</v>
      </c>
      <c r="J23" s="1610"/>
      <c r="K23" s="1598" t="s">
        <v>895</v>
      </c>
      <c r="L23" s="1597" t="str">
        <f>IF(ISERROR(VLOOKUP($K23,'Calc-Drivers'!$B$17:$G$27,L$43,FALSE))," ",VLOOKUP($K23,'Calc-Drivers'!$B$17:$G$27,L$43,FALSE))</f>
        <v xml:space="preserve"> </v>
      </c>
      <c r="M23" s="1597" t="str">
        <f>IF(ISERROR(VLOOKUP($K23,'Calc-Drivers'!$B$17:$G$27,M$43,FALSE))," ",VLOOKUP($K23,'Calc-Drivers'!$B$17:$G$27,M$43,FALSE))</f>
        <v xml:space="preserve"> </v>
      </c>
      <c r="N23" s="1597" t="str">
        <f>IF(ISERROR(VLOOKUP($K23,'Calc-Drivers'!$B$17:$G$27,N$43,FALSE))," ",VLOOKUP($K23,'Calc-Drivers'!$B$17:$G$27,N$43,FALSE))</f>
        <v xml:space="preserve"> </v>
      </c>
      <c r="O23" s="1597" t="str">
        <f>IF(ISERROR(VLOOKUP($K23,'Calc-Drivers'!$B$17:$G$27,O$43,FALSE))," ",VLOOKUP($K23,'Calc-Drivers'!$B$17:$G$27,O$43,FALSE))</f>
        <v xml:space="preserve"> </v>
      </c>
      <c r="P23" s="1597" t="str">
        <f>IF(ISERROR(VLOOKUP($K23,'Calc-Drivers'!$B$17:$G$27,P$43,FALSE))," ",VLOOKUP($K23,'Calc-Drivers'!$B$17:$G$27,P$43,FALSE))</f>
        <v xml:space="preserve"> </v>
      </c>
      <c r="Q23" s="1578"/>
      <c r="R23" s="1579"/>
      <c r="S23" s="1583" t="str">
        <f t="shared" si="6"/>
        <v xml:space="preserve"> </v>
      </c>
      <c r="T23" s="1583" t="str">
        <f t="shared" si="6"/>
        <v xml:space="preserve"> </v>
      </c>
      <c r="U23" s="1583" t="str">
        <f t="shared" si="6"/>
        <v xml:space="preserve"> </v>
      </c>
      <c r="V23" s="1585" t="str">
        <f t="shared" si="6"/>
        <v xml:space="preserve"> </v>
      </c>
      <c r="W23" s="1585" t="str">
        <f t="shared" si="6"/>
        <v xml:space="preserve"> </v>
      </c>
      <c r="X23" s="1582"/>
      <c r="Y23" s="1594"/>
      <c r="Z23" s="1583" t="str">
        <f t="shared" si="7"/>
        <v xml:space="preserve"> </v>
      </c>
      <c r="AA23" s="1583" t="str">
        <f t="shared" si="7"/>
        <v xml:space="preserve"> </v>
      </c>
      <c r="AB23" s="1583" t="str">
        <f t="shared" si="7"/>
        <v xml:space="preserve"> </v>
      </c>
      <c r="AC23" s="1585" t="str">
        <f t="shared" si="8"/>
        <v xml:space="preserve"> </v>
      </c>
      <c r="AD23" s="1585" t="str">
        <f t="shared" si="8"/>
        <v xml:space="preserve"> </v>
      </c>
      <c r="AE23" s="1582"/>
      <c r="AF23" s="1611"/>
      <c r="AG23" s="1586" t="str">
        <f>IF(ISERROR(Z23*100000000/'Calc-Units'!$E$23)," ",Z23*100000000/'Calc-Units'!$E$23)</f>
        <v xml:space="preserve"> </v>
      </c>
      <c r="AH23" s="1586" t="str">
        <f>IF(ISERROR(AA23*100000000/'Calc-Units'!$D$23)," ",AA23*100000000/'Calc-Units'!$D$23)</f>
        <v xml:space="preserve"> </v>
      </c>
      <c r="AI23" s="1586" t="str">
        <f>IF(ISERROR(AB23*100000000/'Calc-Units'!$C$23)," ",AB23*100000000/'Calc-Units'!$C$23)</f>
        <v xml:space="preserve"> </v>
      </c>
      <c r="AJ23" s="1587" t="str">
        <f>IF(ISERROR(AC23*100000000/'Calc-Units'!$C$23)," ",AC23*100000000/'Calc-Units'!$C$23)</f>
        <v xml:space="preserve"> </v>
      </c>
      <c r="AK23" s="1612"/>
      <c r="AL23" s="1615">
        <v>0.52569999999999995</v>
      </c>
      <c r="AM23" s="1590">
        <f t="shared" si="9"/>
        <v>3.6299598833696578</v>
      </c>
      <c r="AN23" s="1591">
        <f t="shared" si="10"/>
        <v>3.2750427481115256</v>
      </c>
      <c r="AO23" s="1556"/>
      <c r="AP23" s="1556"/>
      <c r="AQ23" s="1583" t="str">
        <f t="shared" si="11"/>
        <v xml:space="preserve"> </v>
      </c>
      <c r="AR23" s="1583" t="str">
        <f t="shared" si="11"/>
        <v xml:space="preserve"> </v>
      </c>
      <c r="AS23" s="1583" t="str">
        <f t="shared" si="11"/>
        <v xml:space="preserve"> </v>
      </c>
      <c r="AT23" s="1585" t="str">
        <f t="shared" si="11"/>
        <v xml:space="preserve"> </v>
      </c>
      <c r="AU23" s="1585" t="str">
        <f t="shared" si="11"/>
        <v xml:space="preserve"> </v>
      </c>
      <c r="AV23" s="1582"/>
      <c r="AW23" s="1612"/>
      <c r="AX23" s="1586" t="str">
        <f>IF(ISERROR(AQ23*100000000/'Calc-Units'!$E$23)," ",AQ23*100000000/'Calc-Units'!$E$23)</f>
        <v xml:space="preserve"> </v>
      </c>
      <c r="AY23" s="1586" t="str">
        <f>IF(ISERROR(AR23*100000000/'Calc-Units'!$D$23)," ",AR23*100000000/'Calc-Units'!$D$23)</f>
        <v xml:space="preserve"> </v>
      </c>
      <c r="AZ23" s="1586" t="str">
        <f>IF(ISERROR(AS23*100000000/'Calc-Units'!$C$23)," ",AS23*100000000/'Calc-Units'!$C$23)</f>
        <v xml:space="preserve"> </v>
      </c>
      <c r="BA23" s="1587" t="str">
        <f>IF(ISERROR(AT23*100000000/'Calc-Units'!$C$23)," ",AT23*100000000/'Calc-Units'!$C$23)</f>
        <v xml:space="preserve"> </v>
      </c>
      <c r="BC23" s="1594"/>
      <c r="BD23" s="1594"/>
    </row>
    <row r="24" spans="1:56" s="1497" customFormat="1">
      <c r="A24" s="1608"/>
      <c r="B24" s="2221"/>
      <c r="C24" s="1609" t="s">
        <v>587</v>
      </c>
      <c r="D24" s="1598">
        <f>'RRP 1.3'!U$12</f>
        <v>2.752174273403194</v>
      </c>
      <c r="E24" s="1598">
        <v>0</v>
      </c>
      <c r="F24" s="1598">
        <v>0</v>
      </c>
      <c r="G24" s="1598">
        <v>0</v>
      </c>
      <c r="H24" s="1598">
        <v>0</v>
      </c>
      <c r="I24" s="1598">
        <f t="shared" si="5"/>
        <v>2.752174273403194</v>
      </c>
      <c r="J24" s="1610"/>
      <c r="K24" s="1598" t="s">
        <v>893</v>
      </c>
      <c r="L24" s="1597">
        <f>IF(ISERROR(VLOOKUP($K24,'Calc-Drivers'!$B$17:$G$27,L$43,FALSE))," ",VLOOKUP($K24,'Calc-Drivers'!$B$17:$G$27,L$43,FALSE))</f>
        <v>0.28175718819621531</v>
      </c>
      <c r="M24" s="1597">
        <f>IF(ISERROR(VLOOKUP($K24,'Calc-Drivers'!$B$17:$G$27,M$43,FALSE))," ",VLOOKUP($K24,'Calc-Drivers'!$B$17:$G$27,M$43,FALSE))</f>
        <v>0.20497484976598029</v>
      </c>
      <c r="N24" s="1597">
        <f>IF(ISERROR(VLOOKUP($K24,'Calc-Drivers'!$B$17:$G$27,N$43,FALSE))," ",VLOOKUP($K24,'Calc-Drivers'!$B$17:$G$27,N$43,FALSE))</f>
        <v>5.7624656431026856E-2</v>
      </c>
      <c r="O24" s="1597">
        <f>IF(ISERROR(VLOOKUP($K24,'Calc-Drivers'!$B$17:$G$27,O$43,FALSE))," ",VLOOKUP($K24,'Calc-Drivers'!$B$17:$G$27,O$43,FALSE))</f>
        <v>0.24123166274252686</v>
      </c>
      <c r="P24" s="1597">
        <f>IF(ISERROR(VLOOKUP($K24,'Calc-Drivers'!$B$17:$G$27,P$43,FALSE))," ",VLOOKUP($K24,'Calc-Drivers'!$B$17:$G$27,P$43,FALSE))</f>
        <v>0.21441164286425066</v>
      </c>
      <c r="Q24" s="1578"/>
      <c r="R24" s="1579"/>
      <c r="S24" s="1583">
        <f t="shared" si="6"/>
        <v>0.77544488470004591</v>
      </c>
      <c r="T24" s="1583">
        <f t="shared" si="6"/>
        <v>0.56412650822061561</v>
      </c>
      <c r="U24" s="1583">
        <f t="shared" si="6"/>
        <v>0.15859309694317003</v>
      </c>
      <c r="V24" s="1585">
        <f t="shared" si="6"/>
        <v>0.6639115761302582</v>
      </c>
      <c r="W24" s="1585">
        <f t="shared" si="6"/>
        <v>0.59009820740910413</v>
      </c>
      <c r="X24" s="1582"/>
      <c r="Y24" s="1594"/>
      <c r="Z24" s="1583">
        <f t="shared" si="7"/>
        <v>0.77544488470004591</v>
      </c>
      <c r="AA24" s="1583">
        <f t="shared" si="7"/>
        <v>0.56412650822061561</v>
      </c>
      <c r="AB24" s="1583">
        <f t="shared" si="7"/>
        <v>0.15859309694317003</v>
      </c>
      <c r="AC24" s="1585">
        <f t="shared" si="8"/>
        <v>0.6639115761302582</v>
      </c>
      <c r="AD24" s="1585">
        <f t="shared" si="8"/>
        <v>0.59009820740910413</v>
      </c>
      <c r="AE24" s="1582"/>
      <c r="AF24" s="1611"/>
      <c r="AG24" s="1586">
        <f>IF(ISERROR(Z24*100000000/'Calc-Units'!$E$23)," ",Z24*100000000/'Calc-Units'!$E$23)</f>
        <v>3.0609405978263126E-3</v>
      </c>
      <c r="AH24" s="1586">
        <f>IF(ISERROR(AA24*100000000/'Calc-Units'!$D$23)," ",AA24*100000000/'Calc-Units'!$D$23)</f>
        <v>2.353201670845561E-3</v>
      </c>
      <c r="AI24" s="1586">
        <f>IF(ISERROR(AB24*100000000/'Calc-Units'!$C$23)," ",AB24*100000000/'Calc-Units'!$C$23)</f>
        <v>9.3352108721191172E-4</v>
      </c>
      <c r="AJ24" s="1587">
        <f>IF(ISERROR(AC24*100000000/'Calc-Units'!$C$23)," ",AC24*100000000/'Calc-Units'!$C$23)</f>
        <v>3.9079598564355023E-3</v>
      </c>
      <c r="AK24" s="1612"/>
      <c r="AL24" s="1615">
        <v>0.52569999999999995</v>
      </c>
      <c r="AM24" s="1590">
        <f t="shared" si="9"/>
        <v>1.446818015528059</v>
      </c>
      <c r="AN24" s="1591">
        <f t="shared" si="10"/>
        <v>1.305356257875135</v>
      </c>
      <c r="AO24" s="1556"/>
      <c r="AP24" s="1556"/>
      <c r="AQ24" s="1583">
        <f t="shared" si="11"/>
        <v>0.36779350881323181</v>
      </c>
      <c r="AR24" s="1583">
        <f t="shared" si="11"/>
        <v>0.26756520284903801</v>
      </c>
      <c r="AS24" s="1583">
        <f t="shared" si="11"/>
        <v>7.5220705880145552E-2</v>
      </c>
      <c r="AT24" s="1585">
        <f t="shared" si="11"/>
        <v>0.31489326055858152</v>
      </c>
      <c r="AU24" s="1585">
        <f t="shared" si="11"/>
        <v>0.27988357977413814</v>
      </c>
      <c r="AV24" s="1582"/>
      <c r="AW24" s="1612"/>
      <c r="AX24" s="1586">
        <f>IF(ISERROR(AQ24*100000000/'Calc-Units'!$E$23)," ",AQ24*100000000/'Calc-Units'!$E$23)</f>
        <v>1.4518041255490203E-3</v>
      </c>
      <c r="AY24" s="1586">
        <f>IF(ISERROR(AR24*100000000/'Calc-Units'!$D$23)," ",AR24*100000000/'Calc-Units'!$D$23)</f>
        <v>1.1161235524820496E-3</v>
      </c>
      <c r="AZ24" s="1586">
        <f>IF(ISERROR(AS24*100000000/'Calc-Units'!$C$23)," ",AS24*100000000/'Calc-Units'!$C$23)</f>
        <v>4.4276905166460974E-4</v>
      </c>
      <c r="BA24" s="1587">
        <f>IF(ISERROR(AT24*100000000/'Calc-Units'!$C$23)," ",AT24*100000000/'Calc-Units'!$C$23)</f>
        <v>1.8535453599073592E-3</v>
      </c>
      <c r="BC24" s="1594"/>
      <c r="BD24" s="1594"/>
    </row>
    <row r="25" spans="1:56" s="1497" customFormat="1">
      <c r="A25" s="1608"/>
      <c r="B25" s="2221"/>
      <c r="C25" s="1609" t="s">
        <v>588</v>
      </c>
      <c r="D25" s="1598">
        <f>'RRP 1.3'!V$12</f>
        <v>0.81469405929801364</v>
      </c>
      <c r="E25" s="1598">
        <v>0</v>
      </c>
      <c r="F25" s="1598">
        <v>0</v>
      </c>
      <c r="G25" s="1598">
        <v>0</v>
      </c>
      <c r="H25" s="1598">
        <v>0</v>
      </c>
      <c r="I25" s="1598">
        <f t="shared" si="5"/>
        <v>0.81469405929801364</v>
      </c>
      <c r="J25" s="1610"/>
      <c r="K25" s="1598" t="s">
        <v>893</v>
      </c>
      <c r="L25" s="1597">
        <f>IF(ISERROR(VLOOKUP($K25,'Calc-Drivers'!$B$17:$G$27,L$43,FALSE))," ",VLOOKUP($K25,'Calc-Drivers'!$B$17:$G$27,L$43,FALSE))</f>
        <v>0.28175718819621531</v>
      </c>
      <c r="M25" s="1597">
        <f>IF(ISERROR(VLOOKUP($K25,'Calc-Drivers'!$B$17:$G$27,M$43,FALSE))," ",VLOOKUP($K25,'Calc-Drivers'!$B$17:$G$27,M$43,FALSE))</f>
        <v>0.20497484976598029</v>
      </c>
      <c r="N25" s="1597">
        <f>IF(ISERROR(VLOOKUP($K25,'Calc-Drivers'!$B$17:$G$27,N$43,FALSE))," ",VLOOKUP($K25,'Calc-Drivers'!$B$17:$G$27,N$43,FALSE))</f>
        <v>5.7624656431026856E-2</v>
      </c>
      <c r="O25" s="1597">
        <f>IF(ISERROR(VLOOKUP($K25,'Calc-Drivers'!$B$17:$G$27,O$43,FALSE))," ",VLOOKUP($K25,'Calc-Drivers'!$B$17:$G$27,O$43,FALSE))</f>
        <v>0.24123166274252686</v>
      </c>
      <c r="P25" s="1597">
        <f>IF(ISERROR(VLOOKUP($K25,'Calc-Drivers'!$B$17:$G$27,P$43,FALSE))," ",VLOOKUP($K25,'Calc-Drivers'!$B$17:$G$27,P$43,FALSE))</f>
        <v>0.21441164286425066</v>
      </c>
      <c r="Q25" s="1578"/>
      <c r="R25" s="1579"/>
      <c r="S25" s="1583">
        <f t="shared" si="6"/>
        <v>0.22954590738796904</v>
      </c>
      <c r="T25" s="1583">
        <f t="shared" si="6"/>
        <v>0.16699179240984699</v>
      </c>
      <c r="U25" s="1583">
        <f t="shared" si="6"/>
        <v>4.694646526344666E-2</v>
      </c>
      <c r="V25" s="1585">
        <f t="shared" si="6"/>
        <v>0.1965300025509186</v>
      </c>
      <c r="W25" s="1585">
        <f t="shared" si="6"/>
        <v>0.17467989168583234</v>
      </c>
      <c r="X25" s="1582"/>
      <c r="Y25" s="1594"/>
      <c r="Z25" s="1583">
        <f t="shared" si="7"/>
        <v>0.22954590738796904</v>
      </c>
      <c r="AA25" s="1583">
        <f t="shared" si="7"/>
        <v>0.16699179240984699</v>
      </c>
      <c r="AB25" s="1583">
        <f t="shared" si="7"/>
        <v>4.694646526344666E-2</v>
      </c>
      <c r="AC25" s="1585">
        <f t="shared" si="8"/>
        <v>0.1965300025509186</v>
      </c>
      <c r="AD25" s="1585">
        <f t="shared" si="8"/>
        <v>0.17467989168583234</v>
      </c>
      <c r="AE25" s="1582"/>
      <c r="AF25" s="1611"/>
      <c r="AG25" s="1586">
        <f>IF(ISERROR(Z25*100000000/'Calc-Units'!$E$23)," ",Z25*100000000/'Calc-Units'!$E$23)</f>
        <v>9.0609455404493404E-4</v>
      </c>
      <c r="AH25" s="1586">
        <f>IF(ISERROR(AA25*100000000/'Calc-Units'!$D$23)," ",AA25*100000000/'Calc-Units'!$D$23)</f>
        <v>6.9659085185670472E-4</v>
      </c>
      <c r="AI25" s="1586">
        <f>IF(ISERROR(AB25*100000000/'Calc-Units'!$C$23)," ",AB25*100000000/'Calc-Units'!$C$23)</f>
        <v>2.7633936242000071E-4</v>
      </c>
      <c r="AJ25" s="1587">
        <f>IF(ISERROR(AC25*100000000/'Calc-Units'!$C$23)," ",AC25*100000000/'Calc-Units'!$C$23)</f>
        <v>1.1568277887708807E-3</v>
      </c>
      <c r="AK25" s="1612"/>
      <c r="AL25" s="1615">
        <v>0.52569999999999995</v>
      </c>
      <c r="AM25" s="1590">
        <f t="shared" si="9"/>
        <v>0.42828466697296574</v>
      </c>
      <c r="AN25" s="1591">
        <f t="shared" si="10"/>
        <v>0.3864093923250479</v>
      </c>
      <c r="AO25" s="1556"/>
      <c r="AP25" s="1556"/>
      <c r="AQ25" s="1583">
        <f t="shared" si="11"/>
        <v>0.10887362387411373</v>
      </c>
      <c r="AR25" s="1583">
        <f t="shared" si="11"/>
        <v>7.9204207139990435E-2</v>
      </c>
      <c r="AS25" s="1583">
        <f t="shared" si="11"/>
        <v>2.2266708474452755E-2</v>
      </c>
      <c r="AT25" s="1585">
        <f t="shared" si="11"/>
        <v>9.3214180209900702E-2</v>
      </c>
      <c r="AU25" s="1585">
        <f t="shared" si="11"/>
        <v>8.2850672626590294E-2</v>
      </c>
      <c r="AV25" s="1582"/>
      <c r="AW25" s="1612"/>
      <c r="AX25" s="1586">
        <f>IF(ISERROR(AQ25*100000000/'Calc-Units'!$E$23)," ",AQ25*100000000/'Calc-Units'!$E$23)</f>
        <v>4.2976064698351223E-4</v>
      </c>
      <c r="AY25" s="1586">
        <f>IF(ISERROR(AR25*100000000/'Calc-Units'!$D$23)," ",AR25*100000000/'Calc-Units'!$D$23)</f>
        <v>3.3039304103563507E-4</v>
      </c>
      <c r="AZ25" s="1586">
        <f>IF(ISERROR(AS25*100000000/'Calc-Units'!$C$23)," ",AS25*100000000/'Calc-Units'!$C$23)</f>
        <v>1.3106775959580638E-4</v>
      </c>
      <c r="BA25" s="1587">
        <f>IF(ISERROR(AT25*100000000/'Calc-Units'!$C$23)," ",AT25*100000000/'Calc-Units'!$C$23)</f>
        <v>5.4868342021402873E-4</v>
      </c>
      <c r="BC25" s="1594"/>
      <c r="BD25" s="1594"/>
    </row>
    <row r="26" spans="1:56" s="1497" customFormat="1">
      <c r="A26" s="1608"/>
      <c r="B26" s="2221"/>
      <c r="C26" s="1609" t="s">
        <v>589</v>
      </c>
      <c r="D26" s="1598">
        <f>'RRP 1.3'!W$12</f>
        <v>8.6435311720759582</v>
      </c>
      <c r="E26" s="1598">
        <v>0</v>
      </c>
      <c r="F26" s="1598">
        <v>0</v>
      </c>
      <c r="G26" s="1598">
        <v>0</v>
      </c>
      <c r="H26" s="1598">
        <v>0</v>
      </c>
      <c r="I26" s="1598">
        <f t="shared" si="5"/>
        <v>8.6435311720759582</v>
      </c>
      <c r="J26" s="1610"/>
      <c r="K26" s="1598" t="s">
        <v>893</v>
      </c>
      <c r="L26" s="1597">
        <f>IF(ISERROR(VLOOKUP($K26,'Calc-Drivers'!$B$17:$G$27,L$43,FALSE))," ",VLOOKUP($K26,'Calc-Drivers'!$B$17:$G$27,L$43,FALSE))</f>
        <v>0.28175718819621531</v>
      </c>
      <c r="M26" s="1597">
        <f>IF(ISERROR(VLOOKUP($K26,'Calc-Drivers'!$B$17:$G$27,M$43,FALSE))," ",VLOOKUP($K26,'Calc-Drivers'!$B$17:$G$27,M$43,FALSE))</f>
        <v>0.20497484976598029</v>
      </c>
      <c r="N26" s="1597">
        <f>IF(ISERROR(VLOOKUP($K26,'Calc-Drivers'!$B$17:$G$27,N$43,FALSE))," ",VLOOKUP($K26,'Calc-Drivers'!$B$17:$G$27,N$43,FALSE))</f>
        <v>5.7624656431026856E-2</v>
      </c>
      <c r="O26" s="1597">
        <f>IF(ISERROR(VLOOKUP($K26,'Calc-Drivers'!$B$17:$G$27,O$43,FALSE))," ",VLOOKUP($K26,'Calc-Drivers'!$B$17:$G$27,O$43,FALSE))</f>
        <v>0.24123166274252686</v>
      </c>
      <c r="P26" s="1597">
        <f>IF(ISERROR(VLOOKUP($K26,'Calc-Drivers'!$B$17:$G$27,P$43,FALSE))," ",VLOOKUP($K26,'Calc-Drivers'!$B$17:$G$27,P$43,FALSE))</f>
        <v>0.21441164286425066</v>
      </c>
      <c r="Q26" s="1578"/>
      <c r="R26" s="1579"/>
      <c r="S26" s="1583">
        <f t="shared" si="6"/>
        <v>2.4353770391304592</v>
      </c>
      <c r="T26" s="1583">
        <f t="shared" si="6"/>
        <v>1.7717065034438371</v>
      </c>
      <c r="U26" s="1583">
        <f t="shared" si="6"/>
        <v>0.49808051414174798</v>
      </c>
      <c r="V26" s="1585">
        <f t="shared" si="6"/>
        <v>2.0850933966067453</v>
      </c>
      <c r="W26" s="1585">
        <f t="shared" si="6"/>
        <v>1.8532737187531683</v>
      </c>
      <c r="X26" s="1582"/>
      <c r="Y26" s="1594"/>
      <c r="Z26" s="1583">
        <f t="shared" si="7"/>
        <v>2.4353770391304592</v>
      </c>
      <c r="AA26" s="1583">
        <f t="shared" si="7"/>
        <v>1.7717065034438371</v>
      </c>
      <c r="AB26" s="1583">
        <f t="shared" si="7"/>
        <v>0.49808051414174798</v>
      </c>
      <c r="AC26" s="1585">
        <f t="shared" si="8"/>
        <v>2.0850933966067453</v>
      </c>
      <c r="AD26" s="1585">
        <f t="shared" si="8"/>
        <v>1.8532737187531683</v>
      </c>
      <c r="AE26" s="1582"/>
      <c r="AF26" s="1611"/>
      <c r="AG26" s="1586">
        <f>IF(ISERROR(Z26*100000000/'Calc-Units'!$E$23)," ",Z26*100000000/'Calc-Units'!$E$23)</f>
        <v>9.6132485972513643E-3</v>
      </c>
      <c r="AH26" s="1586">
        <f>IF(ISERROR(AA26*100000000/'Calc-Units'!$D$23)," ",AA26*100000000/'Calc-Units'!$D$23)</f>
        <v>7.3905101841474224E-3</v>
      </c>
      <c r="AI26" s="1586">
        <f>IF(ISERROR(AB26*100000000/'Calc-Units'!$C$23)," ",AB26*100000000/'Calc-Units'!$C$23)</f>
        <v>2.9318341847330751E-3</v>
      </c>
      <c r="AJ26" s="1587">
        <f>IF(ISERROR(AC26*100000000/'Calc-Units'!$C$23)," ",AC26*100000000/'Calc-Units'!$C$23)</f>
        <v>1.2273413484296888E-2</v>
      </c>
      <c r="AK26" s="1612"/>
      <c r="AL26" s="1615">
        <v>0.52569999999999995</v>
      </c>
      <c r="AM26" s="1590">
        <f t="shared" si="9"/>
        <v>4.5439043371603312</v>
      </c>
      <c r="AN26" s="1591">
        <f t="shared" si="10"/>
        <v>4.0996268349156271</v>
      </c>
      <c r="AO26" s="1556"/>
      <c r="AP26" s="1556"/>
      <c r="AQ26" s="1583">
        <f t="shared" si="11"/>
        <v>1.1550993296595768</v>
      </c>
      <c r="AR26" s="1583">
        <f t="shared" si="11"/>
        <v>0.84032039458341201</v>
      </c>
      <c r="AS26" s="1583">
        <f t="shared" si="11"/>
        <v>0.2362395878574311</v>
      </c>
      <c r="AT26" s="1585">
        <f t="shared" si="11"/>
        <v>0.98895979801057943</v>
      </c>
      <c r="AU26" s="1585">
        <f t="shared" si="11"/>
        <v>0.87900772480462785</v>
      </c>
      <c r="AV26" s="1582"/>
      <c r="AW26" s="1612"/>
      <c r="AX26" s="1586">
        <f>IF(ISERROR(AQ26*100000000/'Calc-Units'!$E$23)," ",AQ26*100000000/'Calc-Units'!$E$23)</f>
        <v>4.5595638096763225E-3</v>
      </c>
      <c r="AY26" s="1586">
        <f>IF(ISERROR(AR26*100000000/'Calc-Units'!$D$23)," ",AR26*100000000/'Calc-Units'!$D$23)</f>
        <v>3.5053189803411224E-3</v>
      </c>
      <c r="AZ26" s="1586">
        <f>IF(ISERROR(AS26*100000000/'Calc-Units'!$C$23)," ",AS26*100000000/'Calc-Units'!$C$23)</f>
        <v>1.3905689538188978E-3</v>
      </c>
      <c r="BA26" s="1587">
        <f>IF(ISERROR(AT26*100000000/'Calc-Units'!$C$23)," ",AT26*100000000/'Calc-Units'!$C$23)</f>
        <v>5.8212800156020152E-3</v>
      </c>
      <c r="BC26" s="1594"/>
      <c r="BD26" s="1594"/>
    </row>
    <row r="27" spans="1:56" s="1497" customFormat="1">
      <c r="A27" s="1616"/>
      <c r="B27" s="2222"/>
      <c r="C27" s="1609" t="s">
        <v>590</v>
      </c>
      <c r="D27" s="1598">
        <f>'RRP 1.3'!X$12</f>
        <v>2.3115403502563221</v>
      </c>
      <c r="E27" s="1598">
        <v>0</v>
      </c>
      <c r="F27" s="1598">
        <v>0</v>
      </c>
      <c r="G27" s="1598">
        <v>0</v>
      </c>
      <c r="H27" s="1598">
        <v>0</v>
      </c>
      <c r="I27" s="1598">
        <f t="shared" si="5"/>
        <v>2.3115403502563221</v>
      </c>
      <c r="J27" s="1610"/>
      <c r="K27" s="1604" t="s">
        <v>893</v>
      </c>
      <c r="L27" s="1597">
        <f>IF(ISERROR(VLOOKUP($K27,'Calc-Drivers'!$B$17:$G$27,L$43,FALSE))," ",VLOOKUP($K27,'Calc-Drivers'!$B$17:$G$27,L$43,FALSE))</f>
        <v>0.28175718819621531</v>
      </c>
      <c r="M27" s="1597">
        <f>IF(ISERROR(VLOOKUP($K27,'Calc-Drivers'!$B$17:$G$27,M$43,FALSE))," ",VLOOKUP($K27,'Calc-Drivers'!$B$17:$G$27,M$43,FALSE))</f>
        <v>0.20497484976598029</v>
      </c>
      <c r="N27" s="1597">
        <f>IF(ISERROR(VLOOKUP($K27,'Calc-Drivers'!$B$17:$G$27,N$43,FALSE))," ",VLOOKUP($K27,'Calc-Drivers'!$B$17:$G$27,N$43,FALSE))</f>
        <v>5.7624656431026856E-2</v>
      </c>
      <c r="O27" s="1597">
        <f>IF(ISERROR(VLOOKUP($K27,'Calc-Drivers'!$B$17:$G$27,O$43,FALSE))," ",VLOOKUP($K27,'Calc-Drivers'!$B$17:$G$27,O$43,FALSE))</f>
        <v>0.24123166274252686</v>
      </c>
      <c r="P27" s="1597">
        <f>IF(ISERROR(VLOOKUP($K27,'Calc-Drivers'!$B$17:$G$27,P$43,FALSE))," ",VLOOKUP($K27,'Calc-Drivers'!$B$17:$G$27,P$43,FALSE))</f>
        <v>0.21441164286425066</v>
      </c>
      <c r="Q27" s="1578"/>
      <c r="R27" s="1579"/>
      <c r="S27" s="1583">
        <f t="shared" si="6"/>
        <v>0.65129310949031605</v>
      </c>
      <c r="T27" s="1583">
        <f t="shared" si="6"/>
        <v>0.4738076360217911</v>
      </c>
      <c r="U27" s="1583">
        <f t="shared" si="6"/>
        <v>0.13320171850997603</v>
      </c>
      <c r="V27" s="1585">
        <f t="shared" si="6"/>
        <v>0.55761672218877545</v>
      </c>
      <c r="W27" s="1585">
        <f t="shared" si="6"/>
        <v>0.49562116404546341</v>
      </c>
      <c r="X27" s="1582"/>
      <c r="Y27" s="1594"/>
      <c r="Z27" s="1599">
        <f t="shared" si="7"/>
        <v>0.65129310949031605</v>
      </c>
      <c r="AA27" s="1599">
        <f t="shared" si="7"/>
        <v>0.4738076360217911</v>
      </c>
      <c r="AB27" s="1599">
        <f t="shared" si="7"/>
        <v>0.13320171850997603</v>
      </c>
      <c r="AC27" s="1600">
        <f t="shared" si="8"/>
        <v>0.55761672218877545</v>
      </c>
      <c r="AD27" s="1600">
        <f t="shared" si="8"/>
        <v>0.49562116404546341</v>
      </c>
      <c r="AE27" s="1582"/>
      <c r="AF27" s="1611"/>
      <c r="AG27" s="1601">
        <f>IF(ISERROR(Z27*100000000/'Calc-Units'!$E$23)," ",Z27*100000000/'Calc-Units'!$E$23)</f>
        <v>2.5708719720223439E-3</v>
      </c>
      <c r="AH27" s="1601">
        <f>IF(ISERROR(AA27*100000000/'Calc-Units'!$D$23)," ",AA27*100000000/'Calc-Units'!$D$23)</f>
        <v>1.9764448301901631E-3</v>
      </c>
      <c r="AI27" s="1601">
        <f>IF(ISERROR(AB27*100000000/'Calc-Units'!$C$23)," ",AB27*100000000/'Calc-Units'!$C$23)</f>
        <v>7.8406069039994831E-4</v>
      </c>
      <c r="AJ27" s="1602">
        <f>IF(ISERROR(AC27*100000000/'Calc-Units'!$C$23)," ",AC27*100000000/'Calc-Units'!$C$23)</f>
        <v>3.2822801167174385E-3</v>
      </c>
      <c r="AK27" s="1612"/>
      <c r="AL27" s="1617">
        <v>0.52569999999999995</v>
      </c>
      <c r="AM27" s="1570">
        <f t="shared" si="9"/>
        <v>1.2151767621297485</v>
      </c>
      <c r="AN27" s="1607">
        <f t="shared" si="10"/>
        <v>1.0963635881265736</v>
      </c>
      <c r="AO27" s="1556"/>
      <c r="AP27" s="1556"/>
      <c r="AQ27" s="1599">
        <f t="shared" si="11"/>
        <v>0.30890832183125694</v>
      </c>
      <c r="AR27" s="1599">
        <f t="shared" si="11"/>
        <v>0.22472696176513554</v>
      </c>
      <c r="AS27" s="1599">
        <f t="shared" si="11"/>
        <v>6.3177575089281637E-2</v>
      </c>
      <c r="AT27" s="1600">
        <f t="shared" si="11"/>
        <v>0.26447761133413622</v>
      </c>
      <c r="AU27" s="1600">
        <f t="shared" si="11"/>
        <v>0.23507311810676332</v>
      </c>
      <c r="AV27" s="1582"/>
      <c r="AW27" s="1612"/>
      <c r="AX27" s="1601">
        <f>IF(ISERROR(AQ27*100000000/'Calc-Units'!$E$23)," ",AQ27*100000000/'Calc-Units'!$E$23)</f>
        <v>1.2193645763301979E-3</v>
      </c>
      <c r="AY27" s="1601">
        <f>IF(ISERROR(AR27*100000000/'Calc-Units'!$D$23)," ",AR27*100000000/'Calc-Units'!$D$23)</f>
        <v>9.3742778295919434E-4</v>
      </c>
      <c r="AZ27" s="1601">
        <f>IF(ISERROR(AS27*100000000/'Calc-Units'!$C$23)," ",AS27*100000000/'Calc-Units'!$C$23)</f>
        <v>3.7187998545669556E-4</v>
      </c>
      <c r="BA27" s="1602">
        <f>IF(ISERROR(AT27*100000000/'Calc-Units'!$C$23)," ",AT27*100000000/'Calc-Units'!$C$23)</f>
        <v>1.5567854593590811E-3</v>
      </c>
      <c r="BC27" s="1594"/>
      <c r="BD27" s="1594"/>
    </row>
    <row r="28" spans="1:56" s="1494" customFormat="1" ht="12.75" customHeight="1">
      <c r="A28" s="1618" t="s">
        <v>896</v>
      </c>
      <c r="B28" s="1619"/>
      <c r="C28" s="1618" t="s">
        <v>554</v>
      </c>
      <c r="D28" s="1620">
        <f>'RRP 1.3'!Y$12</f>
        <v>15.445247999999999</v>
      </c>
      <c r="E28" s="1620">
        <v>0</v>
      </c>
      <c r="F28" s="1620">
        <v>0</v>
      </c>
      <c r="G28" s="1620">
        <v>0</v>
      </c>
      <c r="H28" s="1620">
        <v>0</v>
      </c>
      <c r="I28" s="1620">
        <f t="shared" si="5"/>
        <v>15.445247999999999</v>
      </c>
      <c r="J28" s="1556"/>
      <c r="K28" s="1621" t="s">
        <v>895</v>
      </c>
      <c r="L28" s="1597" t="str">
        <f>IF(ISERROR(VLOOKUP($K28,'Calc-Drivers'!$B$17:$G$27,L$43,FALSE))," ",VLOOKUP($K28,'Calc-Drivers'!$B$17:$G$27,L$43,FALSE))</f>
        <v xml:space="preserve"> </v>
      </c>
      <c r="M28" s="1597" t="str">
        <f>IF(ISERROR(VLOOKUP($K28,'Calc-Drivers'!$B$17:$G$27,M$43,FALSE))," ",VLOOKUP($K28,'Calc-Drivers'!$B$17:$G$27,M$43,FALSE))</f>
        <v xml:space="preserve"> </v>
      </c>
      <c r="N28" s="1597" t="str">
        <f>IF(ISERROR(VLOOKUP($K28,'Calc-Drivers'!$B$17:$G$27,N$43,FALSE))," ",VLOOKUP($K28,'Calc-Drivers'!$B$17:$G$27,N$43,FALSE))</f>
        <v xml:space="preserve"> </v>
      </c>
      <c r="O28" s="1597" t="str">
        <f>IF(ISERROR(VLOOKUP($K28,'Calc-Drivers'!$B$17:$G$27,O$43,FALSE))," ",VLOOKUP($K28,'Calc-Drivers'!$B$17:$G$27,O$43,FALSE))</f>
        <v xml:space="preserve"> </v>
      </c>
      <c r="P28" s="1597" t="str">
        <f>IF(ISERROR(VLOOKUP($K28,'Calc-Drivers'!$B$17:$G$27,P$43,FALSE))," ",VLOOKUP($K28,'Calc-Drivers'!$B$17:$G$27,P$43,FALSE))</f>
        <v xml:space="preserve"> </v>
      </c>
      <c r="Q28" s="1578"/>
      <c r="R28" s="1579"/>
      <c r="S28" s="1580" t="str">
        <f t="shared" si="6"/>
        <v xml:space="preserve"> </v>
      </c>
      <c r="T28" s="1580" t="str">
        <f t="shared" si="6"/>
        <v xml:space="preserve"> </v>
      </c>
      <c r="U28" s="1580" t="str">
        <f t="shared" si="6"/>
        <v xml:space="preserve"> </v>
      </c>
      <c r="V28" s="1581" t="str">
        <f t="shared" si="6"/>
        <v xml:space="preserve"> </v>
      </c>
      <c r="W28" s="1581" t="str">
        <f t="shared" si="6"/>
        <v xml:space="preserve"> </v>
      </c>
      <c r="X28" s="1582"/>
      <c r="Y28" s="375"/>
      <c r="Z28" s="1580" t="str">
        <f t="shared" si="7"/>
        <v xml:space="preserve"> </v>
      </c>
      <c r="AA28" s="1580" t="str">
        <f t="shared" si="7"/>
        <v xml:space="preserve"> </v>
      </c>
      <c r="AB28" s="1580" t="str">
        <f t="shared" si="7"/>
        <v xml:space="preserve"> </v>
      </c>
      <c r="AC28" s="1581" t="str">
        <f t="shared" si="8"/>
        <v xml:space="preserve"> </v>
      </c>
      <c r="AD28" s="1581" t="str">
        <f t="shared" si="8"/>
        <v xml:space="preserve"> </v>
      </c>
      <c r="AE28" s="1582"/>
      <c r="AF28" s="1582"/>
      <c r="AG28" s="1592" t="str">
        <f>IF(ISERROR(Z28*100000000/'Calc-Units'!$E$23)," ",Z28*100000000/'Calc-Units'!$E$23)</f>
        <v xml:space="preserve"> </v>
      </c>
      <c r="AH28" s="1592" t="str">
        <f>IF(ISERROR(AA28*100000000/'Calc-Units'!$D$23)," ",AA28*100000000/'Calc-Units'!$D$23)</f>
        <v xml:space="preserve"> </v>
      </c>
      <c r="AI28" s="1592" t="str">
        <f>IF(ISERROR(AB28*100000000/'Calc-Units'!$C$23)," ",AB28*100000000/'Calc-Units'!$C$23)</f>
        <v xml:space="preserve"> </v>
      </c>
      <c r="AJ28" s="1593" t="str">
        <f>IF(ISERROR(AC28*100000000/'Calc-Units'!$C$23)," ",AC28*100000000/'Calc-Units'!$C$23)</f>
        <v xml:space="preserve"> </v>
      </c>
      <c r="AK28" s="1588"/>
      <c r="AL28" s="1622">
        <v>0</v>
      </c>
      <c r="AM28" s="1590">
        <f t="shared" si="9"/>
        <v>0</v>
      </c>
      <c r="AN28" s="1591">
        <f t="shared" si="10"/>
        <v>15.445247999999999</v>
      </c>
      <c r="AO28" s="1556"/>
      <c r="AP28" s="1556"/>
      <c r="AQ28" s="1580" t="str">
        <f t="shared" si="11"/>
        <v xml:space="preserve"> </v>
      </c>
      <c r="AR28" s="1580" t="str">
        <f t="shared" si="11"/>
        <v xml:space="preserve"> </v>
      </c>
      <c r="AS28" s="1580" t="str">
        <f t="shared" si="11"/>
        <v xml:space="preserve"> </v>
      </c>
      <c r="AT28" s="1581" t="str">
        <f t="shared" si="11"/>
        <v xml:space="preserve"> </v>
      </c>
      <c r="AU28" s="1581" t="str">
        <f t="shared" si="11"/>
        <v xml:space="preserve"> </v>
      </c>
      <c r="AV28" s="1582"/>
      <c r="AW28" s="1588"/>
      <c r="AX28" s="1592" t="str">
        <f>IF(ISERROR(AQ28*100000000/'Calc-Units'!$E$23)," ",AQ28*100000000/'Calc-Units'!$E$23)</f>
        <v xml:space="preserve"> </v>
      </c>
      <c r="AY28" s="1592" t="str">
        <f>IF(ISERROR(AR28*100000000/'Calc-Units'!$D$23)," ",AR28*100000000/'Calc-Units'!$D$23)</f>
        <v xml:space="preserve"> </v>
      </c>
      <c r="AZ28" s="1592" t="str">
        <f>IF(ISERROR(AS28*100000000/'Calc-Units'!$C$23)," ",AS28*100000000/'Calc-Units'!$C$23)</f>
        <v xml:space="preserve"> </v>
      </c>
      <c r="BA28" s="1593" t="str">
        <f>IF(ISERROR(AT28*100000000/'Calc-Units'!$C$23)," ",AT28*100000000/'Calc-Units'!$C$23)</f>
        <v xml:space="preserve"> </v>
      </c>
      <c r="BC28" s="1594"/>
      <c r="BD28" s="375"/>
    </row>
    <row r="29" spans="1:56" s="1494" customFormat="1">
      <c r="A29" s="1608"/>
      <c r="B29" s="1623"/>
      <c r="C29" s="1608" t="s">
        <v>555</v>
      </c>
      <c r="D29" s="1621">
        <f>'RRP 1.3'!Z$12</f>
        <v>0</v>
      </c>
      <c r="E29" s="1621">
        <v>0</v>
      </c>
      <c r="F29" s="1621">
        <v>0</v>
      </c>
      <c r="G29" s="1621">
        <v>0</v>
      </c>
      <c r="H29" s="1621">
        <v>0</v>
      </c>
      <c r="I29" s="1621">
        <f t="shared" si="5"/>
        <v>0</v>
      </c>
      <c r="J29" s="1556"/>
      <c r="K29" s="1620" t="s">
        <v>895</v>
      </c>
      <c r="L29" s="1577" t="str">
        <f>IF(ISERROR(VLOOKUP($K29,'Calc-Drivers'!$B$17:$G$27,L$43,FALSE))," ",VLOOKUP($K29,'Calc-Drivers'!$B$17:$G$27,L$43,FALSE))</f>
        <v xml:space="preserve"> </v>
      </c>
      <c r="M29" s="1577" t="str">
        <f>IF(ISERROR(VLOOKUP($K29,'Calc-Drivers'!$B$17:$G$27,M$43,FALSE))," ",VLOOKUP($K29,'Calc-Drivers'!$B$17:$G$27,M$43,FALSE))</f>
        <v xml:space="preserve"> </v>
      </c>
      <c r="N29" s="1577" t="str">
        <f>IF(ISERROR(VLOOKUP($K29,'Calc-Drivers'!$B$17:$G$27,N$43,FALSE))," ",VLOOKUP($K29,'Calc-Drivers'!$B$17:$G$27,N$43,FALSE))</f>
        <v xml:space="preserve"> </v>
      </c>
      <c r="O29" s="1577" t="str">
        <f>IF(ISERROR(VLOOKUP($K29,'Calc-Drivers'!$B$17:$G$27,O$43,FALSE))," ",VLOOKUP($K29,'Calc-Drivers'!$B$17:$G$27,O$43,FALSE))</f>
        <v xml:space="preserve"> </v>
      </c>
      <c r="P29" s="1577" t="str">
        <f>IF(ISERROR(VLOOKUP($K29,'Calc-Drivers'!$B$17:$G$27,P$43,FALSE))," ",VLOOKUP($K29,'Calc-Drivers'!$B$17:$G$27,P$43,FALSE))</f>
        <v xml:space="preserve"> </v>
      </c>
      <c r="Q29" s="1578"/>
      <c r="R29" s="1579"/>
      <c r="S29" s="1583" t="str">
        <f t="shared" si="6"/>
        <v xml:space="preserve"> </v>
      </c>
      <c r="T29" s="1583" t="str">
        <f t="shared" si="6"/>
        <v xml:space="preserve"> </v>
      </c>
      <c r="U29" s="1583" t="str">
        <f t="shared" si="6"/>
        <v xml:space="preserve"> </v>
      </c>
      <c r="V29" s="1585" t="str">
        <f t="shared" si="6"/>
        <v xml:space="preserve"> </v>
      </c>
      <c r="W29" s="1585" t="str">
        <f t="shared" si="6"/>
        <v xml:space="preserve"> </v>
      </c>
      <c r="X29" s="1582"/>
      <c r="Y29" s="375"/>
      <c r="Z29" s="1583" t="str">
        <f t="shared" si="7"/>
        <v xml:space="preserve"> </v>
      </c>
      <c r="AA29" s="1583" t="str">
        <f t="shared" si="7"/>
        <v xml:space="preserve"> </v>
      </c>
      <c r="AB29" s="1583" t="str">
        <f t="shared" si="7"/>
        <v xml:space="preserve"> </v>
      </c>
      <c r="AC29" s="1585" t="str">
        <f t="shared" si="8"/>
        <v xml:space="preserve"> </v>
      </c>
      <c r="AD29" s="1585" t="str">
        <f t="shared" si="8"/>
        <v xml:space="preserve"> </v>
      </c>
      <c r="AE29" s="1582"/>
      <c r="AF29" s="1582"/>
      <c r="AG29" s="1586" t="str">
        <f>IF(ISERROR(Z29*100000000/'Calc-Units'!$E$23)," ",Z29*100000000/'Calc-Units'!$E$23)</f>
        <v xml:space="preserve"> </v>
      </c>
      <c r="AH29" s="1586" t="str">
        <f>IF(ISERROR(AA29*100000000/'Calc-Units'!$D$23)," ",AA29*100000000/'Calc-Units'!$D$23)</f>
        <v xml:space="preserve"> </v>
      </c>
      <c r="AI29" s="1586" t="str">
        <f>IF(ISERROR(AB29*100000000/'Calc-Units'!$C$23)," ",AB29*100000000/'Calc-Units'!$C$23)</f>
        <v xml:space="preserve"> </v>
      </c>
      <c r="AJ29" s="1587" t="str">
        <f>IF(ISERROR(AC29*100000000/'Calc-Units'!$C$23)," ",AC29*100000000/'Calc-Units'!$C$23)</f>
        <v xml:space="preserve"> </v>
      </c>
      <c r="AK29" s="1588"/>
      <c r="AL29" s="1622">
        <v>0.57699999999999996</v>
      </c>
      <c r="AM29" s="1590">
        <f t="shared" si="9"/>
        <v>0</v>
      </c>
      <c r="AN29" s="1591">
        <f t="shared" si="10"/>
        <v>0</v>
      </c>
      <c r="AO29" s="1556"/>
      <c r="AP29" s="1556"/>
      <c r="AQ29" s="1583" t="str">
        <f t="shared" si="11"/>
        <v xml:space="preserve"> </v>
      </c>
      <c r="AR29" s="1583" t="str">
        <f t="shared" si="11"/>
        <v xml:space="preserve"> </v>
      </c>
      <c r="AS29" s="1583" t="str">
        <f t="shared" si="11"/>
        <v xml:space="preserve"> </v>
      </c>
      <c r="AT29" s="1585" t="str">
        <f t="shared" si="11"/>
        <v xml:space="preserve"> </v>
      </c>
      <c r="AU29" s="1585" t="str">
        <f t="shared" si="11"/>
        <v xml:space="preserve"> </v>
      </c>
      <c r="AV29" s="1582"/>
      <c r="AW29" s="1588"/>
      <c r="AX29" s="1586" t="str">
        <f>IF(ISERROR(AQ29*100000000/'Calc-Units'!$E$23)," ",AQ29*100000000/'Calc-Units'!$E$23)</f>
        <v xml:space="preserve"> </v>
      </c>
      <c r="AY29" s="1586" t="str">
        <f>IF(ISERROR(AR29*100000000/'Calc-Units'!$D$23)," ",AR29*100000000/'Calc-Units'!$D$23)</f>
        <v xml:space="preserve"> </v>
      </c>
      <c r="AZ29" s="1586" t="str">
        <f>IF(ISERROR(AS29*100000000/'Calc-Units'!$C$23)," ",AS29*100000000/'Calc-Units'!$C$23)</f>
        <v xml:space="preserve"> </v>
      </c>
      <c r="BA29" s="1587" t="str">
        <f>IF(ISERROR(AT29*100000000/'Calc-Units'!$C$23)," ",AT29*100000000/'Calc-Units'!$C$23)</f>
        <v xml:space="preserve"> </v>
      </c>
      <c r="BC29" s="1594"/>
      <c r="BD29" s="375"/>
    </row>
    <row r="30" spans="1:56" s="1494" customFormat="1">
      <c r="A30" s="1608"/>
      <c r="B30" s="1623"/>
      <c r="C30" s="1608" t="s">
        <v>556</v>
      </c>
      <c r="D30" s="1621">
        <f>'RRP 1.3'!AA$12</f>
        <v>0.61796958946554414</v>
      </c>
      <c r="E30" s="1621">
        <v>0</v>
      </c>
      <c r="F30" s="1621">
        <v>0</v>
      </c>
      <c r="G30" s="1621">
        <v>0</v>
      </c>
      <c r="H30" s="1621">
        <v>0</v>
      </c>
      <c r="I30" s="1621">
        <f t="shared" si="5"/>
        <v>0.61796958946554414</v>
      </c>
      <c r="J30" s="1556"/>
      <c r="K30" s="1621" t="s">
        <v>895</v>
      </c>
      <c r="L30" s="1597" t="str">
        <f>IF(ISERROR(VLOOKUP($K30,'Calc-Drivers'!$B$17:$G$27,L$43,FALSE))," ",VLOOKUP($K30,'Calc-Drivers'!$B$17:$G$27,L$43,FALSE))</f>
        <v xml:space="preserve"> </v>
      </c>
      <c r="M30" s="1597" t="str">
        <f>IF(ISERROR(VLOOKUP($K30,'Calc-Drivers'!$B$17:$G$27,M$43,FALSE))," ",VLOOKUP($K30,'Calc-Drivers'!$B$17:$G$27,M$43,FALSE))</f>
        <v xml:space="preserve"> </v>
      </c>
      <c r="N30" s="1597" t="str">
        <f>IF(ISERROR(VLOOKUP($K30,'Calc-Drivers'!$B$17:$G$27,N$43,FALSE))," ",VLOOKUP($K30,'Calc-Drivers'!$B$17:$G$27,N$43,FALSE))</f>
        <v xml:space="preserve"> </v>
      </c>
      <c r="O30" s="1597" t="str">
        <f>IF(ISERROR(VLOOKUP($K30,'Calc-Drivers'!$B$17:$G$27,O$43,FALSE))," ",VLOOKUP($K30,'Calc-Drivers'!$B$17:$G$27,O$43,FALSE))</f>
        <v xml:space="preserve"> </v>
      </c>
      <c r="P30" s="1597" t="str">
        <f>IF(ISERROR(VLOOKUP($K30,'Calc-Drivers'!$B$17:$G$27,P$43,FALSE))," ",VLOOKUP($K30,'Calc-Drivers'!$B$17:$G$27,P$43,FALSE))</f>
        <v xml:space="preserve"> </v>
      </c>
      <c r="Q30" s="1578"/>
      <c r="R30" s="1579"/>
      <c r="S30" s="1583" t="str">
        <f t="shared" si="6"/>
        <v xml:space="preserve"> </v>
      </c>
      <c r="T30" s="1583" t="str">
        <f t="shared" si="6"/>
        <v xml:space="preserve"> </v>
      </c>
      <c r="U30" s="1583" t="str">
        <f t="shared" si="6"/>
        <v xml:space="preserve"> </v>
      </c>
      <c r="V30" s="1585" t="str">
        <f t="shared" si="6"/>
        <v xml:space="preserve"> </v>
      </c>
      <c r="W30" s="1585" t="str">
        <f t="shared" si="6"/>
        <v xml:space="preserve"> </v>
      </c>
      <c r="X30" s="1582"/>
      <c r="Y30" s="375"/>
      <c r="Z30" s="1583" t="str">
        <f t="shared" si="7"/>
        <v xml:space="preserve"> </v>
      </c>
      <c r="AA30" s="1583" t="str">
        <f t="shared" si="7"/>
        <v xml:space="preserve"> </v>
      </c>
      <c r="AB30" s="1583" t="str">
        <f t="shared" si="7"/>
        <v xml:space="preserve"> </v>
      </c>
      <c r="AC30" s="1585" t="str">
        <f t="shared" si="8"/>
        <v xml:space="preserve"> </v>
      </c>
      <c r="AD30" s="1585" t="str">
        <f t="shared" si="8"/>
        <v xml:space="preserve"> </v>
      </c>
      <c r="AE30" s="1582"/>
      <c r="AF30" s="1582"/>
      <c r="AG30" s="1586" t="str">
        <f>IF(ISERROR(Z30*100000000/'Calc-Units'!$E$23)," ",Z30*100000000/'Calc-Units'!$E$23)</f>
        <v xml:space="preserve"> </v>
      </c>
      <c r="AH30" s="1586" t="str">
        <f>IF(ISERROR(AA30*100000000/'Calc-Units'!$D$23)," ",AA30*100000000/'Calc-Units'!$D$23)</f>
        <v xml:space="preserve"> </v>
      </c>
      <c r="AI30" s="1586" t="str">
        <f>IF(ISERROR(AB30*100000000/'Calc-Units'!$C$23)," ",AB30*100000000/'Calc-Units'!$C$23)</f>
        <v xml:space="preserve"> </v>
      </c>
      <c r="AJ30" s="1587" t="str">
        <f>IF(ISERROR(AC30*100000000/'Calc-Units'!$C$23)," ",AC30*100000000/'Calc-Units'!$C$23)</f>
        <v xml:space="preserve"> </v>
      </c>
      <c r="AK30" s="1588"/>
      <c r="AL30" s="1622">
        <v>0</v>
      </c>
      <c r="AM30" s="1590">
        <f t="shared" si="9"/>
        <v>0</v>
      </c>
      <c r="AN30" s="1591">
        <f t="shared" si="10"/>
        <v>0.61796958946554414</v>
      </c>
      <c r="AO30" s="1556"/>
      <c r="AP30" s="1556"/>
      <c r="AQ30" s="1583" t="str">
        <f t="shared" si="11"/>
        <v xml:space="preserve"> </v>
      </c>
      <c r="AR30" s="1583" t="str">
        <f t="shared" si="11"/>
        <v xml:space="preserve"> </v>
      </c>
      <c r="AS30" s="1583" t="str">
        <f t="shared" si="11"/>
        <v xml:space="preserve"> </v>
      </c>
      <c r="AT30" s="1585" t="str">
        <f t="shared" si="11"/>
        <v xml:space="preserve"> </v>
      </c>
      <c r="AU30" s="1585" t="str">
        <f t="shared" si="11"/>
        <v xml:space="preserve"> </v>
      </c>
      <c r="AV30" s="1582"/>
      <c r="AW30" s="1588"/>
      <c r="AX30" s="1586" t="str">
        <f>IF(ISERROR(AQ30*100000000/'Calc-Units'!$E$23)," ",AQ30*100000000/'Calc-Units'!$E$23)</f>
        <v xml:space="preserve"> </v>
      </c>
      <c r="AY30" s="1586" t="str">
        <f>IF(ISERROR(AR30*100000000/'Calc-Units'!$D$23)," ",AR30*100000000/'Calc-Units'!$D$23)</f>
        <v xml:space="preserve"> </v>
      </c>
      <c r="AZ30" s="1586" t="str">
        <f>IF(ISERROR(AS30*100000000/'Calc-Units'!$C$23)," ",AS30*100000000/'Calc-Units'!$C$23)</f>
        <v xml:space="preserve"> </v>
      </c>
      <c r="BA30" s="1587" t="str">
        <f>IF(ISERROR(AT30*100000000/'Calc-Units'!$C$23)," ",AT30*100000000/'Calc-Units'!$C$23)</f>
        <v xml:space="preserve"> </v>
      </c>
      <c r="BC30" s="375"/>
      <c r="BD30" s="375"/>
    </row>
    <row r="31" spans="1:56" s="1494" customFormat="1">
      <c r="A31" s="1608"/>
      <c r="B31" s="1623"/>
      <c r="C31" s="1608" t="s">
        <v>557</v>
      </c>
      <c r="D31" s="1621">
        <f>'RRP 1.3'!AB$12</f>
        <v>15.206595222076547</v>
      </c>
      <c r="E31" s="1621">
        <v>0</v>
      </c>
      <c r="F31" s="1621">
        <v>0</v>
      </c>
      <c r="G31" s="1621">
        <v>0</v>
      </c>
      <c r="H31" s="1621">
        <v>0</v>
      </c>
      <c r="I31" s="1621">
        <f t="shared" si="5"/>
        <v>15.206595222076547</v>
      </c>
      <c r="J31" s="1556"/>
      <c r="K31" s="1621" t="s">
        <v>895</v>
      </c>
      <c r="L31" s="1597" t="str">
        <f>IF(ISERROR(VLOOKUP($K31,'Calc-Drivers'!$B$17:$G$27,L$43,FALSE))," ",VLOOKUP($K31,'Calc-Drivers'!$B$17:$G$27,L$43,FALSE))</f>
        <v xml:space="preserve"> </v>
      </c>
      <c r="M31" s="1597" t="str">
        <f>IF(ISERROR(VLOOKUP($K31,'Calc-Drivers'!$B$17:$G$27,M$43,FALSE))," ",VLOOKUP($K31,'Calc-Drivers'!$B$17:$G$27,M$43,FALSE))</f>
        <v xml:space="preserve"> </v>
      </c>
      <c r="N31" s="1597" t="str">
        <f>IF(ISERROR(VLOOKUP($K31,'Calc-Drivers'!$B$17:$G$27,N$43,FALSE))," ",VLOOKUP($K31,'Calc-Drivers'!$B$17:$G$27,N$43,FALSE))</f>
        <v xml:space="preserve"> </v>
      </c>
      <c r="O31" s="1597" t="str">
        <f>IF(ISERROR(VLOOKUP($K31,'Calc-Drivers'!$B$17:$G$27,O$43,FALSE))," ",VLOOKUP($K31,'Calc-Drivers'!$B$17:$G$27,O$43,FALSE))</f>
        <v xml:space="preserve"> </v>
      </c>
      <c r="P31" s="1597" t="str">
        <f>IF(ISERROR(VLOOKUP($K31,'Calc-Drivers'!$B$17:$G$27,P$43,FALSE))," ",VLOOKUP($K31,'Calc-Drivers'!$B$17:$G$27,P$43,FALSE))</f>
        <v xml:space="preserve"> </v>
      </c>
      <c r="Q31" s="1578"/>
      <c r="R31" s="1579"/>
      <c r="S31" s="1583" t="str">
        <f t="shared" si="6"/>
        <v xml:space="preserve"> </v>
      </c>
      <c r="T31" s="1583" t="str">
        <f t="shared" si="6"/>
        <v xml:space="preserve"> </v>
      </c>
      <c r="U31" s="1583" t="str">
        <f t="shared" si="6"/>
        <v xml:space="preserve"> </v>
      </c>
      <c r="V31" s="1585" t="str">
        <f t="shared" si="6"/>
        <v xml:space="preserve"> </v>
      </c>
      <c r="W31" s="1585" t="str">
        <f t="shared" si="6"/>
        <v xml:space="preserve"> </v>
      </c>
      <c r="X31" s="1582"/>
      <c r="Y31" s="375"/>
      <c r="Z31" s="1583" t="str">
        <f t="shared" si="7"/>
        <v xml:space="preserve"> </v>
      </c>
      <c r="AA31" s="1583" t="str">
        <f t="shared" si="7"/>
        <v xml:space="preserve"> </v>
      </c>
      <c r="AB31" s="1583" t="str">
        <f t="shared" si="7"/>
        <v xml:space="preserve"> </v>
      </c>
      <c r="AC31" s="1585" t="str">
        <f t="shared" si="8"/>
        <v xml:space="preserve"> </v>
      </c>
      <c r="AD31" s="1585" t="str">
        <f t="shared" si="8"/>
        <v xml:space="preserve"> </v>
      </c>
      <c r="AE31" s="1582"/>
      <c r="AF31" s="1582"/>
      <c r="AG31" s="1586" t="str">
        <f>IF(ISERROR(Z31*100000000/'Calc-Units'!$E$23)," ",Z31*100000000/'Calc-Units'!$E$23)</f>
        <v xml:space="preserve"> </v>
      </c>
      <c r="AH31" s="1586" t="str">
        <f>IF(ISERROR(AA31*100000000/'Calc-Units'!$D$23)," ",AA31*100000000/'Calc-Units'!$D$23)</f>
        <v xml:space="preserve"> </v>
      </c>
      <c r="AI31" s="1586" t="str">
        <f>IF(ISERROR(AB31*100000000/'Calc-Units'!$C$23)," ",AB31*100000000/'Calc-Units'!$C$23)</f>
        <v xml:space="preserve"> </v>
      </c>
      <c r="AJ31" s="1587" t="str">
        <f>IF(ISERROR(AC31*100000000/'Calc-Units'!$C$23)," ",AC31*100000000/'Calc-Units'!$C$23)</f>
        <v xml:space="preserve"> </v>
      </c>
      <c r="AK31" s="1588"/>
      <c r="AL31" s="1622">
        <v>0</v>
      </c>
      <c r="AM31" s="1590">
        <f t="shared" si="9"/>
        <v>0</v>
      </c>
      <c r="AN31" s="1591">
        <f t="shared" si="10"/>
        <v>15.206595222076547</v>
      </c>
      <c r="AO31" s="1556"/>
      <c r="AP31" s="1556"/>
      <c r="AQ31" s="1583" t="str">
        <f t="shared" si="11"/>
        <v xml:space="preserve"> </v>
      </c>
      <c r="AR31" s="1583" t="str">
        <f t="shared" si="11"/>
        <v xml:space="preserve"> </v>
      </c>
      <c r="AS31" s="1583" t="str">
        <f t="shared" si="11"/>
        <v xml:space="preserve"> </v>
      </c>
      <c r="AT31" s="1585" t="str">
        <f t="shared" si="11"/>
        <v xml:space="preserve"> </v>
      </c>
      <c r="AU31" s="1585" t="str">
        <f t="shared" si="11"/>
        <v xml:space="preserve"> </v>
      </c>
      <c r="AV31" s="1582"/>
      <c r="AW31" s="1588"/>
      <c r="AX31" s="1586" t="str">
        <f>IF(ISERROR(AQ31*100000000/'Calc-Units'!$E$23)," ",AQ31*100000000/'Calc-Units'!$E$23)</f>
        <v xml:space="preserve"> </v>
      </c>
      <c r="AY31" s="1586" t="str">
        <f>IF(ISERROR(AR31*100000000/'Calc-Units'!$D$23)," ",AR31*100000000/'Calc-Units'!$D$23)</f>
        <v xml:space="preserve"> </v>
      </c>
      <c r="AZ31" s="1586" t="str">
        <f>IF(ISERROR(AS31*100000000/'Calc-Units'!$C$23)," ",AS31*100000000/'Calc-Units'!$C$23)</f>
        <v xml:space="preserve"> </v>
      </c>
      <c r="BA31" s="1587" t="str">
        <f>IF(ISERROR(AT31*100000000/'Calc-Units'!$C$23)," ",AT31*100000000/'Calc-Units'!$C$23)</f>
        <v xml:space="preserve"> </v>
      </c>
      <c r="BC31" s="375"/>
      <c r="BD31" s="375"/>
    </row>
    <row r="32" spans="1:56" s="1494" customFormat="1">
      <c r="A32" s="1608"/>
      <c r="B32" s="1623"/>
      <c r="C32" s="1608" t="s">
        <v>558</v>
      </c>
      <c r="D32" s="1621">
        <f>'RRP 1.3'!AC$12</f>
        <v>-0.43430239645676894</v>
      </c>
      <c r="E32" s="1621">
        <v>0</v>
      </c>
      <c r="F32" s="1621">
        <v>0</v>
      </c>
      <c r="G32" s="1621">
        <v>0</v>
      </c>
      <c r="H32" s="1621">
        <v>0</v>
      </c>
      <c r="I32" s="1621">
        <f t="shared" si="5"/>
        <v>-0.43430239645676894</v>
      </c>
      <c r="J32" s="1556"/>
      <c r="K32" s="1621" t="s">
        <v>895</v>
      </c>
      <c r="L32" s="1597" t="str">
        <f>IF(ISERROR(VLOOKUP($K32,'Calc-Drivers'!$B$17:$G$27,L$43,FALSE))," ",VLOOKUP($K32,'Calc-Drivers'!$B$17:$G$27,L$43,FALSE))</f>
        <v xml:space="preserve"> </v>
      </c>
      <c r="M32" s="1597" t="str">
        <f>IF(ISERROR(VLOOKUP($K32,'Calc-Drivers'!$B$17:$G$27,M$43,FALSE))," ",VLOOKUP($K32,'Calc-Drivers'!$B$17:$G$27,M$43,FALSE))</f>
        <v xml:space="preserve"> </v>
      </c>
      <c r="N32" s="1597" t="str">
        <f>IF(ISERROR(VLOOKUP($K32,'Calc-Drivers'!$B$17:$G$27,N$43,FALSE))," ",VLOOKUP($K32,'Calc-Drivers'!$B$17:$G$27,N$43,FALSE))</f>
        <v xml:space="preserve"> </v>
      </c>
      <c r="O32" s="1597" t="str">
        <f>IF(ISERROR(VLOOKUP($K32,'Calc-Drivers'!$B$17:$G$27,O$43,FALSE))," ",VLOOKUP($K32,'Calc-Drivers'!$B$17:$G$27,O$43,FALSE))</f>
        <v xml:space="preserve"> </v>
      </c>
      <c r="P32" s="1597" t="str">
        <f>IF(ISERROR(VLOOKUP($K32,'Calc-Drivers'!$B$17:$G$27,P$43,FALSE))," ",VLOOKUP($K32,'Calc-Drivers'!$B$17:$G$27,P$43,FALSE))</f>
        <v xml:space="preserve"> </v>
      </c>
      <c r="Q32" s="1578"/>
      <c r="R32" s="1579"/>
      <c r="S32" s="1583" t="str">
        <f t="shared" si="6"/>
        <v xml:space="preserve"> </v>
      </c>
      <c r="T32" s="1583" t="str">
        <f t="shared" si="6"/>
        <v xml:space="preserve"> </v>
      </c>
      <c r="U32" s="1583" t="str">
        <f t="shared" si="6"/>
        <v xml:space="preserve"> </v>
      </c>
      <c r="V32" s="1585" t="str">
        <f t="shared" si="6"/>
        <v xml:space="preserve"> </v>
      </c>
      <c r="W32" s="1585" t="str">
        <f t="shared" si="6"/>
        <v xml:space="preserve"> </v>
      </c>
      <c r="X32" s="1582"/>
      <c r="Y32" s="375"/>
      <c r="Z32" s="1583" t="str">
        <f t="shared" si="7"/>
        <v xml:space="preserve"> </v>
      </c>
      <c r="AA32" s="1583" t="str">
        <f t="shared" si="7"/>
        <v xml:space="preserve"> </v>
      </c>
      <c r="AB32" s="1583" t="str">
        <f t="shared" si="7"/>
        <v xml:space="preserve"> </v>
      </c>
      <c r="AC32" s="1585" t="str">
        <f t="shared" si="8"/>
        <v xml:space="preserve"> </v>
      </c>
      <c r="AD32" s="1585" t="str">
        <f t="shared" si="8"/>
        <v xml:space="preserve"> </v>
      </c>
      <c r="AE32" s="1582"/>
      <c r="AF32" s="1582"/>
      <c r="AG32" s="1586" t="str">
        <f>IF(ISERROR(Z32*100000000/'Calc-Units'!$E$23)," ",Z32*100000000/'Calc-Units'!$E$23)</f>
        <v xml:space="preserve"> </v>
      </c>
      <c r="AH32" s="1586" t="str">
        <f>IF(ISERROR(AA32*100000000/'Calc-Units'!$D$23)," ",AA32*100000000/'Calc-Units'!$D$23)</f>
        <v xml:space="preserve"> </v>
      </c>
      <c r="AI32" s="1586" t="str">
        <f>IF(ISERROR(AB32*100000000/'Calc-Units'!$C$23)," ",AB32*100000000/'Calc-Units'!$C$23)</f>
        <v xml:space="preserve"> </v>
      </c>
      <c r="AJ32" s="1587" t="str">
        <f>IF(ISERROR(AC32*100000000/'Calc-Units'!$C$23)," ",AC32*100000000/'Calc-Units'!$C$23)</f>
        <v xml:space="preserve"> </v>
      </c>
      <c r="AK32" s="1588"/>
      <c r="AL32" s="1622">
        <v>0</v>
      </c>
      <c r="AM32" s="1590">
        <f t="shared" si="9"/>
        <v>0</v>
      </c>
      <c r="AN32" s="1591">
        <f t="shared" si="10"/>
        <v>-0.43430239645676894</v>
      </c>
      <c r="AO32" s="1556"/>
      <c r="AP32" s="1556"/>
      <c r="AQ32" s="1583" t="str">
        <f t="shared" si="11"/>
        <v xml:space="preserve"> </v>
      </c>
      <c r="AR32" s="1583" t="str">
        <f t="shared" si="11"/>
        <v xml:space="preserve"> </v>
      </c>
      <c r="AS32" s="1583" t="str">
        <f t="shared" si="11"/>
        <v xml:space="preserve"> </v>
      </c>
      <c r="AT32" s="1585" t="str">
        <f t="shared" si="11"/>
        <v xml:space="preserve"> </v>
      </c>
      <c r="AU32" s="1585" t="str">
        <f t="shared" si="11"/>
        <v xml:space="preserve"> </v>
      </c>
      <c r="AV32" s="1582"/>
      <c r="AW32" s="1588"/>
      <c r="AX32" s="1586" t="str">
        <f>IF(ISERROR(AQ32*100000000/'Calc-Units'!$E$23)," ",AQ32*100000000/'Calc-Units'!$E$23)</f>
        <v xml:space="preserve"> </v>
      </c>
      <c r="AY32" s="1586" t="str">
        <f>IF(ISERROR(AR32*100000000/'Calc-Units'!$D$23)," ",AR32*100000000/'Calc-Units'!$D$23)</f>
        <v xml:space="preserve"> </v>
      </c>
      <c r="AZ32" s="1586" t="str">
        <f>IF(ISERROR(AS32*100000000/'Calc-Units'!$C$23)," ",AS32*100000000/'Calc-Units'!$C$23)</f>
        <v xml:space="preserve"> </v>
      </c>
      <c r="BA32" s="1587" t="str">
        <f>IF(ISERROR(AT32*100000000/'Calc-Units'!$C$23)," ",AT32*100000000/'Calc-Units'!$C$23)</f>
        <v xml:space="preserve"> </v>
      </c>
      <c r="BC32" s="375"/>
      <c r="BD32" s="375"/>
    </row>
    <row r="33" spans="1:56" s="1494" customFormat="1">
      <c r="A33" s="1608"/>
      <c r="B33" s="1623"/>
      <c r="C33" s="1608" t="s">
        <v>559</v>
      </c>
      <c r="D33" s="1621">
        <f>'RRP 1.3'!AD$12</f>
        <v>0.93221999999999994</v>
      </c>
      <c r="E33" s="1621">
        <v>0</v>
      </c>
      <c r="F33" s="1621">
        <v>0</v>
      </c>
      <c r="G33" s="1621">
        <v>0</v>
      </c>
      <c r="H33" s="1621">
        <v>0</v>
      </c>
      <c r="I33" s="1621">
        <f t="shared" si="5"/>
        <v>0.93221999999999994</v>
      </c>
      <c r="J33" s="1556"/>
      <c r="K33" s="1621" t="s">
        <v>895</v>
      </c>
      <c r="L33" s="1597" t="str">
        <f>IF(ISERROR(VLOOKUP($K33,'Calc-Drivers'!$B$17:$G$27,L$43,FALSE))," ",VLOOKUP($K33,'Calc-Drivers'!$B$17:$G$27,L$43,FALSE))</f>
        <v xml:space="preserve"> </v>
      </c>
      <c r="M33" s="1597" t="str">
        <f>IF(ISERROR(VLOOKUP($K33,'Calc-Drivers'!$B$17:$G$27,M$43,FALSE))," ",VLOOKUP($K33,'Calc-Drivers'!$B$17:$G$27,M$43,FALSE))</f>
        <v xml:space="preserve"> </v>
      </c>
      <c r="N33" s="1597" t="str">
        <f>IF(ISERROR(VLOOKUP($K33,'Calc-Drivers'!$B$17:$G$27,N$43,FALSE))," ",VLOOKUP($K33,'Calc-Drivers'!$B$17:$G$27,N$43,FALSE))</f>
        <v xml:space="preserve"> </v>
      </c>
      <c r="O33" s="1597" t="str">
        <f>IF(ISERROR(VLOOKUP($K33,'Calc-Drivers'!$B$17:$G$27,O$43,FALSE))," ",VLOOKUP($K33,'Calc-Drivers'!$B$17:$G$27,O$43,FALSE))</f>
        <v xml:space="preserve"> </v>
      </c>
      <c r="P33" s="1597" t="str">
        <f>IF(ISERROR(VLOOKUP($K33,'Calc-Drivers'!$B$17:$G$27,P$43,FALSE))," ",VLOOKUP($K33,'Calc-Drivers'!$B$17:$G$27,P$43,FALSE))</f>
        <v xml:space="preserve"> </v>
      </c>
      <c r="Q33" s="1578"/>
      <c r="R33" s="1579"/>
      <c r="S33" s="1583" t="str">
        <f t="shared" si="6"/>
        <v xml:space="preserve"> </v>
      </c>
      <c r="T33" s="1583" t="str">
        <f t="shared" si="6"/>
        <v xml:space="preserve"> </v>
      </c>
      <c r="U33" s="1583" t="str">
        <f t="shared" si="6"/>
        <v xml:space="preserve"> </v>
      </c>
      <c r="V33" s="1585" t="str">
        <f t="shared" si="6"/>
        <v xml:space="preserve"> </v>
      </c>
      <c r="W33" s="1585" t="str">
        <f t="shared" si="6"/>
        <v xml:space="preserve"> </v>
      </c>
      <c r="X33" s="1582"/>
      <c r="Y33" s="375"/>
      <c r="Z33" s="1583" t="str">
        <f t="shared" si="7"/>
        <v xml:space="preserve"> </v>
      </c>
      <c r="AA33" s="1583" t="str">
        <f t="shared" si="7"/>
        <v xml:space="preserve"> </v>
      </c>
      <c r="AB33" s="1583" t="str">
        <f t="shared" si="7"/>
        <v xml:space="preserve"> </v>
      </c>
      <c r="AC33" s="1585" t="str">
        <f t="shared" si="8"/>
        <v xml:space="preserve"> </v>
      </c>
      <c r="AD33" s="1585" t="str">
        <f t="shared" si="8"/>
        <v xml:space="preserve"> </v>
      </c>
      <c r="AE33" s="1582"/>
      <c r="AF33" s="1582"/>
      <c r="AG33" s="1586" t="str">
        <f>IF(ISERROR(Z33*100000000/'Calc-Units'!$E$23)," ",Z33*100000000/'Calc-Units'!$E$23)</f>
        <v xml:space="preserve"> </v>
      </c>
      <c r="AH33" s="1586" t="str">
        <f>IF(ISERROR(AA33*100000000/'Calc-Units'!$D$23)," ",AA33*100000000/'Calc-Units'!$D$23)</f>
        <v xml:space="preserve"> </v>
      </c>
      <c r="AI33" s="1586" t="str">
        <f>IF(ISERROR(AB33*100000000/'Calc-Units'!$C$23)," ",AB33*100000000/'Calc-Units'!$C$23)</f>
        <v xml:space="preserve"> </v>
      </c>
      <c r="AJ33" s="1587" t="str">
        <f>IF(ISERROR(AC33*100000000/'Calc-Units'!$C$23)," ",AC33*100000000/'Calc-Units'!$C$23)</f>
        <v xml:space="preserve"> </v>
      </c>
      <c r="AK33" s="1588"/>
      <c r="AL33" s="1622">
        <v>0</v>
      </c>
      <c r="AM33" s="1590">
        <f t="shared" si="9"/>
        <v>0</v>
      </c>
      <c r="AN33" s="1591">
        <f t="shared" si="10"/>
        <v>0.93221999999999994</v>
      </c>
      <c r="AO33" s="1556"/>
      <c r="AP33" s="1556"/>
      <c r="AQ33" s="1583" t="str">
        <f t="shared" si="11"/>
        <v xml:space="preserve"> </v>
      </c>
      <c r="AR33" s="1583" t="str">
        <f t="shared" si="11"/>
        <v xml:space="preserve"> </v>
      </c>
      <c r="AS33" s="1583" t="str">
        <f t="shared" si="11"/>
        <v xml:space="preserve"> </v>
      </c>
      <c r="AT33" s="1585" t="str">
        <f t="shared" si="11"/>
        <v xml:space="preserve"> </v>
      </c>
      <c r="AU33" s="1585" t="str">
        <f t="shared" si="11"/>
        <v xml:space="preserve"> </v>
      </c>
      <c r="AV33" s="1582"/>
      <c r="AW33" s="1588"/>
      <c r="AX33" s="1586" t="str">
        <f>IF(ISERROR(AQ33*100000000/'Calc-Units'!$E$23)," ",AQ33*100000000/'Calc-Units'!$E$23)</f>
        <v xml:space="preserve"> </v>
      </c>
      <c r="AY33" s="1586" t="str">
        <f>IF(ISERROR(AR33*100000000/'Calc-Units'!$D$23)," ",AR33*100000000/'Calc-Units'!$D$23)</f>
        <v xml:space="preserve"> </v>
      </c>
      <c r="AZ33" s="1586" t="str">
        <f>IF(ISERROR(AS33*100000000/'Calc-Units'!$C$23)," ",AS33*100000000/'Calc-Units'!$C$23)</f>
        <v xml:space="preserve"> </v>
      </c>
      <c r="BA33" s="1587" t="str">
        <f>IF(ISERROR(AT33*100000000/'Calc-Units'!$C$23)," ",AT33*100000000/'Calc-Units'!$C$23)</f>
        <v xml:space="preserve"> </v>
      </c>
      <c r="BC33" s="375"/>
      <c r="BD33" s="375"/>
    </row>
    <row r="34" spans="1:56" s="1494" customFormat="1">
      <c r="A34" s="1608"/>
      <c r="B34" s="1623"/>
      <c r="C34" s="1608" t="s">
        <v>560</v>
      </c>
      <c r="D34" s="1621">
        <f>'RRP 1.3'!AE$12</f>
        <v>11.957154855261129</v>
      </c>
      <c r="E34" s="1621">
        <v>0</v>
      </c>
      <c r="F34" s="1621">
        <v>0</v>
      </c>
      <c r="G34" s="1621">
        <v>0</v>
      </c>
      <c r="H34" s="1621">
        <v>0</v>
      </c>
      <c r="I34" s="1621">
        <f t="shared" si="5"/>
        <v>11.957154855261129</v>
      </c>
      <c r="J34" s="1556"/>
      <c r="K34" s="1621" t="s">
        <v>895</v>
      </c>
      <c r="L34" s="1597" t="str">
        <f>IF(ISERROR(VLOOKUP($K34,'Calc-Drivers'!$B$17:$G$27,L$43,FALSE))," ",VLOOKUP($K34,'Calc-Drivers'!$B$17:$G$27,L$43,FALSE))</f>
        <v xml:space="preserve"> </v>
      </c>
      <c r="M34" s="1597" t="str">
        <f>IF(ISERROR(VLOOKUP($K34,'Calc-Drivers'!$B$17:$G$27,M$43,FALSE))," ",VLOOKUP($K34,'Calc-Drivers'!$B$17:$G$27,M$43,FALSE))</f>
        <v xml:space="preserve"> </v>
      </c>
      <c r="N34" s="1597" t="str">
        <f>IF(ISERROR(VLOOKUP($K34,'Calc-Drivers'!$B$17:$G$27,N$43,FALSE))," ",VLOOKUP($K34,'Calc-Drivers'!$B$17:$G$27,N$43,FALSE))</f>
        <v xml:space="preserve"> </v>
      </c>
      <c r="O34" s="1597" t="str">
        <f>IF(ISERROR(VLOOKUP($K34,'Calc-Drivers'!$B$17:$G$27,O$43,FALSE))," ",VLOOKUP($K34,'Calc-Drivers'!$B$17:$G$27,O$43,FALSE))</f>
        <v xml:space="preserve"> </v>
      </c>
      <c r="P34" s="1597" t="str">
        <f>IF(ISERROR(VLOOKUP($K34,'Calc-Drivers'!$B$17:$G$27,P$43,FALSE))," ",VLOOKUP($K34,'Calc-Drivers'!$B$17:$G$27,P$43,FALSE))</f>
        <v xml:space="preserve"> </v>
      </c>
      <c r="Q34" s="1578"/>
      <c r="R34" s="1579"/>
      <c r="S34" s="1583" t="str">
        <f t="shared" si="6"/>
        <v xml:space="preserve"> </v>
      </c>
      <c r="T34" s="1583" t="str">
        <f t="shared" si="6"/>
        <v xml:space="preserve"> </v>
      </c>
      <c r="U34" s="1583" t="str">
        <f t="shared" si="6"/>
        <v xml:space="preserve"> </v>
      </c>
      <c r="V34" s="1585" t="str">
        <f t="shared" si="6"/>
        <v xml:space="preserve"> </v>
      </c>
      <c r="W34" s="1585" t="str">
        <f t="shared" si="6"/>
        <v xml:space="preserve"> </v>
      </c>
      <c r="X34" s="1582"/>
      <c r="Y34" s="375"/>
      <c r="Z34" s="1583" t="str">
        <f t="shared" si="7"/>
        <v xml:space="preserve"> </v>
      </c>
      <c r="AA34" s="1583" t="str">
        <f t="shared" si="7"/>
        <v xml:space="preserve"> </v>
      </c>
      <c r="AB34" s="1583" t="str">
        <f t="shared" si="7"/>
        <v xml:space="preserve"> </v>
      </c>
      <c r="AC34" s="1585" t="str">
        <f t="shared" si="8"/>
        <v xml:space="preserve"> </v>
      </c>
      <c r="AD34" s="1585" t="str">
        <f t="shared" si="8"/>
        <v xml:space="preserve"> </v>
      </c>
      <c r="AE34" s="1582"/>
      <c r="AF34" s="1582"/>
      <c r="AG34" s="1586" t="str">
        <f>IF(ISERROR(Z34*100000000/'Calc-Units'!$E$23)," ",Z34*100000000/'Calc-Units'!$E$23)</f>
        <v xml:space="preserve"> </v>
      </c>
      <c r="AH34" s="1586" t="str">
        <f>IF(ISERROR(AA34*100000000/'Calc-Units'!$D$23)," ",AA34*100000000/'Calc-Units'!$D$23)</f>
        <v xml:space="preserve"> </v>
      </c>
      <c r="AI34" s="1586" t="str">
        <f>IF(ISERROR(AB34*100000000/'Calc-Units'!$C$23)," ",AB34*100000000/'Calc-Units'!$C$23)</f>
        <v xml:space="preserve"> </v>
      </c>
      <c r="AJ34" s="1587" t="str">
        <f>IF(ISERROR(AC34*100000000/'Calc-Units'!$C$23)," ",AC34*100000000/'Calc-Units'!$C$23)</f>
        <v xml:space="preserve"> </v>
      </c>
      <c r="AK34" s="1588"/>
      <c r="AL34" s="1622">
        <v>0</v>
      </c>
      <c r="AM34" s="1590">
        <f t="shared" si="9"/>
        <v>0</v>
      </c>
      <c r="AN34" s="1591">
        <f t="shared" si="10"/>
        <v>11.957154855261129</v>
      </c>
      <c r="AO34" s="1556"/>
      <c r="AP34" s="1556"/>
      <c r="AQ34" s="1583" t="str">
        <f t="shared" si="11"/>
        <v xml:space="preserve"> </v>
      </c>
      <c r="AR34" s="1583" t="str">
        <f t="shared" si="11"/>
        <v xml:space="preserve"> </v>
      </c>
      <c r="AS34" s="1583" t="str">
        <f t="shared" si="11"/>
        <v xml:space="preserve"> </v>
      </c>
      <c r="AT34" s="1585" t="str">
        <f t="shared" si="11"/>
        <v xml:space="preserve"> </v>
      </c>
      <c r="AU34" s="1585" t="str">
        <f t="shared" si="11"/>
        <v xml:space="preserve"> </v>
      </c>
      <c r="AV34" s="1582"/>
      <c r="AW34" s="1588"/>
      <c r="AX34" s="1586" t="str">
        <f>IF(ISERROR(AQ34*100000000/'Calc-Units'!$E$23)," ",AQ34*100000000/'Calc-Units'!$E$23)</f>
        <v xml:space="preserve"> </v>
      </c>
      <c r="AY34" s="1586" t="str">
        <f>IF(ISERROR(AR34*100000000/'Calc-Units'!$D$23)," ",AR34*100000000/'Calc-Units'!$D$23)</f>
        <v xml:space="preserve"> </v>
      </c>
      <c r="AZ34" s="1586" t="str">
        <f>IF(ISERROR(AS34*100000000/'Calc-Units'!$C$23)," ",AS34*100000000/'Calc-Units'!$C$23)</f>
        <v xml:space="preserve"> </v>
      </c>
      <c r="BA34" s="1587" t="str">
        <f>IF(ISERROR(AT34*100000000/'Calc-Units'!$C$23)," ",AT34*100000000/'Calc-Units'!$C$23)</f>
        <v xml:space="preserve"> </v>
      </c>
      <c r="BC34" s="375"/>
      <c r="BD34" s="375"/>
    </row>
    <row r="35" spans="1:56" s="1494" customFormat="1">
      <c r="A35" s="1608"/>
      <c r="B35" s="1623"/>
      <c r="C35" s="1608" t="s">
        <v>561</v>
      </c>
      <c r="D35" s="1621">
        <f>'RRP 1.3'!AF$12</f>
        <v>59.102484352201088</v>
      </c>
      <c r="E35" s="1621">
        <v>0</v>
      </c>
      <c r="F35" s="1621">
        <v>0</v>
      </c>
      <c r="G35" s="1621">
        <v>0</v>
      </c>
      <c r="H35" s="1621">
        <v>0</v>
      </c>
      <c r="I35" s="1621">
        <f t="shared" si="5"/>
        <v>59.102484352201088</v>
      </c>
      <c r="J35" s="1556"/>
      <c r="K35" s="1621" t="s">
        <v>895</v>
      </c>
      <c r="L35" s="1597" t="str">
        <f>IF(ISERROR(VLOOKUP($K35,'Calc-Drivers'!$B$17:$G$27,L$43,FALSE))," ",VLOOKUP($K35,'Calc-Drivers'!$B$17:$G$27,L$43,FALSE))</f>
        <v xml:space="preserve"> </v>
      </c>
      <c r="M35" s="1597" t="str">
        <f>IF(ISERROR(VLOOKUP($K35,'Calc-Drivers'!$B$17:$G$27,M$43,FALSE))," ",VLOOKUP($K35,'Calc-Drivers'!$B$17:$G$27,M$43,FALSE))</f>
        <v xml:space="preserve"> </v>
      </c>
      <c r="N35" s="1597" t="str">
        <f>IF(ISERROR(VLOOKUP($K35,'Calc-Drivers'!$B$17:$G$27,N$43,FALSE))," ",VLOOKUP($K35,'Calc-Drivers'!$B$17:$G$27,N$43,FALSE))</f>
        <v xml:space="preserve"> </v>
      </c>
      <c r="O35" s="1597" t="str">
        <f>IF(ISERROR(VLOOKUP($K35,'Calc-Drivers'!$B$17:$G$27,O$43,FALSE))," ",VLOOKUP($K35,'Calc-Drivers'!$B$17:$G$27,O$43,FALSE))</f>
        <v xml:space="preserve"> </v>
      </c>
      <c r="P35" s="1597" t="str">
        <f>IF(ISERROR(VLOOKUP($K35,'Calc-Drivers'!$B$17:$G$27,P$43,FALSE))," ",VLOOKUP($K35,'Calc-Drivers'!$B$17:$G$27,P$43,FALSE))</f>
        <v xml:space="preserve"> </v>
      </c>
      <c r="Q35" s="1578"/>
      <c r="R35" s="1579"/>
      <c r="S35" s="1583" t="str">
        <f t="shared" si="6"/>
        <v xml:space="preserve"> </v>
      </c>
      <c r="T35" s="1583" t="str">
        <f t="shared" si="6"/>
        <v xml:space="preserve"> </v>
      </c>
      <c r="U35" s="1583" t="str">
        <f t="shared" si="6"/>
        <v xml:space="preserve"> </v>
      </c>
      <c r="V35" s="1585" t="str">
        <f t="shared" si="6"/>
        <v xml:space="preserve"> </v>
      </c>
      <c r="W35" s="1585" t="str">
        <f t="shared" si="6"/>
        <v xml:space="preserve"> </v>
      </c>
      <c r="X35" s="1582"/>
      <c r="Y35" s="375"/>
      <c r="Z35" s="1583" t="str">
        <f t="shared" si="7"/>
        <v xml:space="preserve"> </v>
      </c>
      <c r="AA35" s="1583" t="str">
        <f t="shared" si="7"/>
        <v xml:space="preserve"> </v>
      </c>
      <c r="AB35" s="1583" t="str">
        <f t="shared" si="7"/>
        <v xml:space="preserve"> </v>
      </c>
      <c r="AC35" s="1585" t="str">
        <f t="shared" si="8"/>
        <v xml:space="preserve"> </v>
      </c>
      <c r="AD35" s="1585" t="str">
        <f t="shared" si="8"/>
        <v xml:space="preserve"> </v>
      </c>
      <c r="AE35" s="1582"/>
      <c r="AF35" s="1582"/>
      <c r="AG35" s="1586" t="str">
        <f>IF(ISERROR(Z35*100000000/'Calc-Units'!$E$23)," ",Z35*100000000/'Calc-Units'!$E$23)</f>
        <v xml:space="preserve"> </v>
      </c>
      <c r="AH35" s="1586" t="str">
        <f>IF(ISERROR(AA35*100000000/'Calc-Units'!$D$23)," ",AA35*100000000/'Calc-Units'!$D$23)</f>
        <v xml:space="preserve"> </v>
      </c>
      <c r="AI35" s="1586" t="str">
        <f>IF(ISERROR(AB35*100000000/'Calc-Units'!$C$23)," ",AB35*100000000/'Calc-Units'!$C$23)</f>
        <v xml:space="preserve"> </v>
      </c>
      <c r="AJ35" s="1587" t="str">
        <f>IF(ISERROR(AC35*100000000/'Calc-Units'!$C$23)," ",AC35*100000000/'Calc-Units'!$C$23)</f>
        <v xml:space="preserve"> </v>
      </c>
      <c r="AK35" s="1588"/>
      <c r="AL35" s="1622">
        <v>0</v>
      </c>
      <c r="AM35" s="1590">
        <f t="shared" si="9"/>
        <v>0</v>
      </c>
      <c r="AN35" s="1591">
        <f t="shared" si="10"/>
        <v>59.102484352201088</v>
      </c>
      <c r="AO35" s="1556"/>
      <c r="AP35" s="1556"/>
      <c r="AQ35" s="1583" t="str">
        <f t="shared" si="11"/>
        <v xml:space="preserve"> </v>
      </c>
      <c r="AR35" s="1583" t="str">
        <f t="shared" si="11"/>
        <v xml:space="preserve"> </v>
      </c>
      <c r="AS35" s="1583" t="str">
        <f t="shared" si="11"/>
        <v xml:space="preserve"> </v>
      </c>
      <c r="AT35" s="1585" t="str">
        <f t="shared" si="11"/>
        <v xml:space="preserve"> </v>
      </c>
      <c r="AU35" s="1585" t="str">
        <f t="shared" si="11"/>
        <v xml:space="preserve"> </v>
      </c>
      <c r="AV35" s="1582"/>
      <c r="AW35" s="1588"/>
      <c r="AX35" s="1586" t="str">
        <f>IF(ISERROR(AQ35*100000000/'Calc-Units'!$E$23)," ",AQ35*100000000/'Calc-Units'!$E$23)</f>
        <v xml:space="preserve"> </v>
      </c>
      <c r="AY35" s="1586" t="str">
        <f>IF(ISERROR(AR35*100000000/'Calc-Units'!$D$23)," ",AR35*100000000/'Calc-Units'!$D$23)</f>
        <v xml:space="preserve"> </v>
      </c>
      <c r="AZ35" s="1586" t="str">
        <f>IF(ISERROR(AS35*100000000/'Calc-Units'!$C$23)," ",AS35*100000000/'Calc-Units'!$C$23)</f>
        <v xml:space="preserve"> </v>
      </c>
      <c r="BA35" s="1587" t="str">
        <f>IF(ISERROR(AT35*100000000/'Calc-Units'!$C$23)," ",AT35*100000000/'Calc-Units'!$C$23)</f>
        <v xml:space="preserve"> </v>
      </c>
      <c r="BC35" s="375"/>
      <c r="BD35" s="375"/>
    </row>
    <row r="36" spans="1:56" s="1494" customFormat="1">
      <c r="A36" s="1608"/>
      <c r="B36" s="1623"/>
      <c r="C36" s="1608" t="s">
        <v>562</v>
      </c>
      <c r="D36" s="1621">
        <f>'RRP 1.3'!AG$12</f>
        <v>17.0274</v>
      </c>
      <c r="E36" s="1621">
        <v>0</v>
      </c>
      <c r="F36" s="1621">
        <v>0</v>
      </c>
      <c r="G36" s="1621">
        <v>0</v>
      </c>
      <c r="H36" s="1621">
        <v>0</v>
      </c>
      <c r="I36" s="1621">
        <f t="shared" si="5"/>
        <v>17.0274</v>
      </c>
      <c r="J36" s="1556"/>
      <c r="K36" s="1621" t="s">
        <v>895</v>
      </c>
      <c r="L36" s="1597" t="str">
        <f>IF(ISERROR(VLOOKUP($K36,'Calc-Drivers'!$B$17:$G$27,L$43,FALSE))," ",VLOOKUP($K36,'Calc-Drivers'!$B$17:$G$27,L$43,FALSE))</f>
        <v xml:space="preserve"> </v>
      </c>
      <c r="M36" s="1597" t="str">
        <f>IF(ISERROR(VLOOKUP($K36,'Calc-Drivers'!$B$17:$G$27,M$43,FALSE))," ",VLOOKUP($K36,'Calc-Drivers'!$B$17:$G$27,M$43,FALSE))</f>
        <v xml:space="preserve"> </v>
      </c>
      <c r="N36" s="1597" t="str">
        <f>IF(ISERROR(VLOOKUP($K36,'Calc-Drivers'!$B$17:$G$27,N$43,FALSE))," ",VLOOKUP($K36,'Calc-Drivers'!$B$17:$G$27,N$43,FALSE))</f>
        <v xml:space="preserve"> </v>
      </c>
      <c r="O36" s="1597" t="str">
        <f>IF(ISERROR(VLOOKUP($K36,'Calc-Drivers'!$B$17:$G$27,O$43,FALSE))," ",VLOOKUP($K36,'Calc-Drivers'!$B$17:$G$27,O$43,FALSE))</f>
        <v xml:space="preserve"> </v>
      </c>
      <c r="P36" s="1597" t="str">
        <f>IF(ISERROR(VLOOKUP($K36,'Calc-Drivers'!$B$17:$G$27,P$43,FALSE))," ",VLOOKUP($K36,'Calc-Drivers'!$B$17:$G$27,P$43,FALSE))</f>
        <v xml:space="preserve"> </v>
      </c>
      <c r="Q36" s="1578"/>
      <c r="R36" s="1579"/>
      <c r="S36" s="1583" t="str">
        <f t="shared" si="6"/>
        <v xml:space="preserve"> </v>
      </c>
      <c r="T36" s="1583" t="str">
        <f t="shared" si="6"/>
        <v xml:space="preserve"> </v>
      </c>
      <c r="U36" s="1583" t="str">
        <f t="shared" si="6"/>
        <v xml:space="preserve"> </v>
      </c>
      <c r="V36" s="1585" t="str">
        <f t="shared" si="6"/>
        <v xml:space="preserve"> </v>
      </c>
      <c r="W36" s="1585" t="str">
        <f t="shared" si="6"/>
        <v xml:space="preserve"> </v>
      </c>
      <c r="X36" s="1582"/>
      <c r="Y36" s="375"/>
      <c r="Z36" s="1583" t="str">
        <f t="shared" si="7"/>
        <v xml:space="preserve"> </v>
      </c>
      <c r="AA36" s="1583" t="str">
        <f t="shared" si="7"/>
        <v xml:space="preserve"> </v>
      </c>
      <c r="AB36" s="1583" t="str">
        <f t="shared" si="7"/>
        <v xml:space="preserve"> </v>
      </c>
      <c r="AC36" s="1585" t="str">
        <f t="shared" si="8"/>
        <v xml:space="preserve"> </v>
      </c>
      <c r="AD36" s="1585" t="str">
        <f t="shared" si="8"/>
        <v xml:space="preserve"> </v>
      </c>
      <c r="AE36" s="1582"/>
      <c r="AF36" s="1582"/>
      <c r="AG36" s="1586" t="str">
        <f>IF(ISERROR(Z36*100000000/'Calc-Units'!$E$23)," ",Z36*100000000/'Calc-Units'!$E$23)</f>
        <v xml:space="preserve"> </v>
      </c>
      <c r="AH36" s="1586" t="str">
        <f>IF(ISERROR(AA36*100000000/'Calc-Units'!$D$23)," ",AA36*100000000/'Calc-Units'!$D$23)</f>
        <v xml:space="preserve"> </v>
      </c>
      <c r="AI36" s="1586" t="str">
        <f>IF(ISERROR(AB36*100000000/'Calc-Units'!$C$23)," ",AB36*100000000/'Calc-Units'!$C$23)</f>
        <v xml:space="preserve"> </v>
      </c>
      <c r="AJ36" s="1587" t="str">
        <f>IF(ISERROR(AC36*100000000/'Calc-Units'!$C$23)," ",AC36*100000000/'Calc-Units'!$C$23)</f>
        <v xml:space="preserve"> </v>
      </c>
      <c r="AK36" s="1588"/>
      <c r="AL36" s="1622">
        <v>0</v>
      </c>
      <c r="AM36" s="1590">
        <f t="shared" si="9"/>
        <v>0</v>
      </c>
      <c r="AN36" s="1591">
        <f t="shared" si="10"/>
        <v>17.0274</v>
      </c>
      <c r="AO36" s="1556"/>
      <c r="AP36" s="1556"/>
      <c r="AQ36" s="1583" t="str">
        <f t="shared" si="11"/>
        <v xml:space="preserve"> </v>
      </c>
      <c r="AR36" s="1583" t="str">
        <f t="shared" si="11"/>
        <v xml:space="preserve"> </v>
      </c>
      <c r="AS36" s="1583" t="str">
        <f t="shared" si="11"/>
        <v xml:space="preserve"> </v>
      </c>
      <c r="AT36" s="1585" t="str">
        <f t="shared" si="11"/>
        <v xml:space="preserve"> </v>
      </c>
      <c r="AU36" s="1585" t="str">
        <f t="shared" si="11"/>
        <v xml:space="preserve"> </v>
      </c>
      <c r="AV36" s="1582"/>
      <c r="AW36" s="1588"/>
      <c r="AX36" s="1586" t="str">
        <f>IF(ISERROR(AQ36*100000000/'Calc-Units'!$E$23)," ",AQ36*100000000/'Calc-Units'!$E$23)</f>
        <v xml:space="preserve"> </v>
      </c>
      <c r="AY36" s="1586" t="str">
        <f>IF(ISERROR(AR36*100000000/'Calc-Units'!$D$23)," ",AR36*100000000/'Calc-Units'!$D$23)</f>
        <v xml:space="preserve"> </v>
      </c>
      <c r="AZ36" s="1586" t="str">
        <f>IF(ISERROR(AS36*100000000/'Calc-Units'!$C$23)," ",AS36*100000000/'Calc-Units'!$C$23)</f>
        <v xml:space="preserve"> </v>
      </c>
      <c r="BA36" s="1587" t="str">
        <f>IF(ISERROR(AT36*100000000/'Calc-Units'!$C$23)," ",AT36*100000000/'Calc-Units'!$C$23)</f>
        <v xml:space="preserve"> </v>
      </c>
      <c r="BC36" s="375"/>
      <c r="BD36" s="375"/>
    </row>
    <row r="37" spans="1:56" s="1494" customFormat="1">
      <c r="A37" s="1608"/>
      <c r="B37" s="1623"/>
      <c r="C37" s="1608" t="s">
        <v>563</v>
      </c>
      <c r="D37" s="1621">
        <f>'RRP 1.3'!AH$12</f>
        <v>9.0830000000000002</v>
      </c>
      <c r="E37" s="1621">
        <v>0</v>
      </c>
      <c r="F37" s="1621">
        <v>0</v>
      </c>
      <c r="G37" s="1621">
        <v>0</v>
      </c>
      <c r="H37" s="1621">
        <v>0</v>
      </c>
      <c r="I37" s="1621">
        <f t="shared" si="5"/>
        <v>9.0830000000000002</v>
      </c>
      <c r="J37" s="1556"/>
      <c r="K37" s="1621" t="s">
        <v>895</v>
      </c>
      <c r="L37" s="1597" t="str">
        <f>IF(ISERROR(VLOOKUP($K37,'Calc-Drivers'!$B$17:$G$27,L$43,FALSE))," ",VLOOKUP($K37,'Calc-Drivers'!$B$17:$G$27,L$43,FALSE))</f>
        <v xml:space="preserve"> </v>
      </c>
      <c r="M37" s="1597" t="str">
        <f>IF(ISERROR(VLOOKUP($K37,'Calc-Drivers'!$B$17:$G$27,M$43,FALSE))," ",VLOOKUP($K37,'Calc-Drivers'!$B$17:$G$27,M$43,FALSE))</f>
        <v xml:space="preserve"> </v>
      </c>
      <c r="N37" s="1597" t="str">
        <f>IF(ISERROR(VLOOKUP($K37,'Calc-Drivers'!$B$17:$G$27,N$43,FALSE))," ",VLOOKUP($K37,'Calc-Drivers'!$B$17:$G$27,N$43,FALSE))</f>
        <v xml:space="preserve"> </v>
      </c>
      <c r="O37" s="1597" t="str">
        <f>IF(ISERROR(VLOOKUP($K37,'Calc-Drivers'!$B$17:$G$27,O$43,FALSE))," ",VLOOKUP($K37,'Calc-Drivers'!$B$17:$G$27,O$43,FALSE))</f>
        <v xml:space="preserve"> </v>
      </c>
      <c r="P37" s="1597" t="str">
        <f>IF(ISERROR(VLOOKUP($K37,'Calc-Drivers'!$B$17:$G$27,P$43,FALSE))," ",VLOOKUP($K37,'Calc-Drivers'!$B$17:$G$27,P$43,FALSE))</f>
        <v xml:space="preserve"> </v>
      </c>
      <c r="Q37" s="1578"/>
      <c r="R37" s="1579"/>
      <c r="S37" s="1583" t="str">
        <f t="shared" si="6"/>
        <v xml:space="preserve"> </v>
      </c>
      <c r="T37" s="1583" t="str">
        <f t="shared" si="6"/>
        <v xml:space="preserve"> </v>
      </c>
      <c r="U37" s="1583" t="str">
        <f t="shared" si="6"/>
        <v xml:space="preserve"> </v>
      </c>
      <c r="V37" s="1585" t="str">
        <f t="shared" si="6"/>
        <v xml:space="preserve"> </v>
      </c>
      <c r="W37" s="1585" t="str">
        <f t="shared" si="6"/>
        <v xml:space="preserve"> </v>
      </c>
      <c r="X37" s="1582"/>
      <c r="Y37" s="375"/>
      <c r="Z37" s="1583" t="str">
        <f t="shared" si="7"/>
        <v xml:space="preserve"> </v>
      </c>
      <c r="AA37" s="1583" t="str">
        <f t="shared" si="7"/>
        <v xml:space="preserve"> </v>
      </c>
      <c r="AB37" s="1583" t="str">
        <f t="shared" si="7"/>
        <v xml:space="preserve"> </v>
      </c>
      <c r="AC37" s="1585" t="str">
        <f t="shared" si="8"/>
        <v xml:space="preserve"> </v>
      </c>
      <c r="AD37" s="1585" t="str">
        <f t="shared" si="8"/>
        <v xml:space="preserve"> </v>
      </c>
      <c r="AE37" s="1582"/>
      <c r="AF37" s="1582"/>
      <c r="AG37" s="1586" t="str">
        <f>IF(ISERROR(Z37*100000000/'Calc-Units'!$E$23)," ",Z37*100000000/'Calc-Units'!$E$23)</f>
        <v xml:space="preserve"> </v>
      </c>
      <c r="AH37" s="1586" t="str">
        <f>IF(ISERROR(AA37*100000000/'Calc-Units'!$D$23)," ",AA37*100000000/'Calc-Units'!$D$23)</f>
        <v xml:space="preserve"> </v>
      </c>
      <c r="AI37" s="1586" t="str">
        <f>IF(ISERROR(AB37*100000000/'Calc-Units'!$C$23)," ",AB37*100000000/'Calc-Units'!$C$23)</f>
        <v xml:space="preserve"> </v>
      </c>
      <c r="AJ37" s="1587" t="str">
        <f>IF(ISERROR(AC37*100000000/'Calc-Units'!$C$23)," ",AC37*100000000/'Calc-Units'!$C$23)</f>
        <v xml:space="preserve"> </v>
      </c>
      <c r="AK37" s="1588"/>
      <c r="AL37" s="1622">
        <v>0</v>
      </c>
      <c r="AM37" s="1590">
        <f t="shared" si="9"/>
        <v>0</v>
      </c>
      <c r="AN37" s="1591">
        <f t="shared" si="10"/>
        <v>9.0830000000000002</v>
      </c>
      <c r="AO37" s="1556"/>
      <c r="AP37" s="1556"/>
      <c r="AQ37" s="1583" t="str">
        <f t="shared" si="11"/>
        <v xml:space="preserve"> </v>
      </c>
      <c r="AR37" s="1583" t="str">
        <f t="shared" si="11"/>
        <v xml:space="preserve"> </v>
      </c>
      <c r="AS37" s="1583" t="str">
        <f t="shared" si="11"/>
        <v xml:space="preserve"> </v>
      </c>
      <c r="AT37" s="1585" t="str">
        <f t="shared" si="11"/>
        <v xml:space="preserve"> </v>
      </c>
      <c r="AU37" s="1585" t="str">
        <f t="shared" si="11"/>
        <v xml:space="preserve"> </v>
      </c>
      <c r="AV37" s="1582"/>
      <c r="AW37" s="1588"/>
      <c r="AX37" s="1586" t="str">
        <f>IF(ISERROR(AQ37*100000000/'Calc-Units'!$E$23)," ",AQ37*100000000/'Calc-Units'!$E$23)</f>
        <v xml:space="preserve"> </v>
      </c>
      <c r="AY37" s="1586" t="str">
        <f>IF(ISERROR(AR37*100000000/'Calc-Units'!$D$23)," ",AR37*100000000/'Calc-Units'!$D$23)</f>
        <v xml:space="preserve"> </v>
      </c>
      <c r="AZ37" s="1586" t="str">
        <f>IF(ISERROR(AS37*100000000/'Calc-Units'!$C$23)," ",AS37*100000000/'Calc-Units'!$C$23)</f>
        <v xml:space="preserve"> </v>
      </c>
      <c r="BA37" s="1587" t="str">
        <f>IF(ISERROR(AT37*100000000/'Calc-Units'!$C$23)," ",AT37*100000000/'Calc-Units'!$C$23)</f>
        <v xml:space="preserve"> </v>
      </c>
      <c r="BC37" s="375"/>
      <c r="BD37" s="375"/>
    </row>
    <row r="38" spans="1:56" s="1494" customFormat="1">
      <c r="A38" s="1608"/>
      <c r="B38" s="1623"/>
      <c r="C38" s="1608" t="s">
        <v>564</v>
      </c>
      <c r="D38" s="1621">
        <f>'RRP 1.3'!AI$12</f>
        <v>0</v>
      </c>
      <c r="E38" s="1621">
        <v>0</v>
      </c>
      <c r="F38" s="1621">
        <v>0</v>
      </c>
      <c r="G38" s="1621">
        <v>0</v>
      </c>
      <c r="H38" s="1621">
        <v>0</v>
      </c>
      <c r="I38" s="1621">
        <f t="shared" si="5"/>
        <v>0</v>
      </c>
      <c r="J38" s="1556"/>
      <c r="K38" s="1621" t="s">
        <v>895</v>
      </c>
      <c r="L38" s="1597" t="str">
        <f>IF(ISERROR(VLOOKUP($K38,'Calc-Drivers'!$B$17:$G$27,L$43,FALSE))," ",VLOOKUP($K38,'Calc-Drivers'!$B$17:$G$27,L$43,FALSE))</f>
        <v xml:space="preserve"> </v>
      </c>
      <c r="M38" s="1597" t="str">
        <f>IF(ISERROR(VLOOKUP($K38,'Calc-Drivers'!$B$17:$G$27,M$43,FALSE))," ",VLOOKUP($K38,'Calc-Drivers'!$B$17:$G$27,M$43,FALSE))</f>
        <v xml:space="preserve"> </v>
      </c>
      <c r="N38" s="1597" t="str">
        <f>IF(ISERROR(VLOOKUP($K38,'Calc-Drivers'!$B$17:$G$27,N$43,FALSE))," ",VLOOKUP($K38,'Calc-Drivers'!$B$17:$G$27,N$43,FALSE))</f>
        <v xml:space="preserve"> </v>
      </c>
      <c r="O38" s="1597" t="str">
        <f>IF(ISERROR(VLOOKUP($K38,'Calc-Drivers'!$B$17:$G$27,O$43,FALSE))," ",VLOOKUP($K38,'Calc-Drivers'!$B$17:$G$27,O$43,FALSE))</f>
        <v xml:space="preserve"> </v>
      </c>
      <c r="P38" s="1597" t="str">
        <f>IF(ISERROR(VLOOKUP($K38,'Calc-Drivers'!$B$17:$G$27,P$43,FALSE))," ",VLOOKUP($K38,'Calc-Drivers'!$B$17:$G$27,P$43,FALSE))</f>
        <v xml:space="preserve"> </v>
      </c>
      <c r="Q38" s="1578"/>
      <c r="R38" s="1579"/>
      <c r="S38" s="1583" t="str">
        <f t="shared" si="6"/>
        <v xml:space="preserve"> </v>
      </c>
      <c r="T38" s="1583" t="str">
        <f t="shared" si="6"/>
        <v xml:space="preserve"> </v>
      </c>
      <c r="U38" s="1583" t="str">
        <f t="shared" si="6"/>
        <v xml:space="preserve"> </v>
      </c>
      <c r="V38" s="1585" t="str">
        <f t="shared" si="6"/>
        <v xml:space="preserve"> </v>
      </c>
      <c r="W38" s="1585" t="str">
        <f t="shared" si="6"/>
        <v xml:space="preserve"> </v>
      </c>
      <c r="X38" s="1582"/>
      <c r="Y38" s="375"/>
      <c r="Z38" s="1583" t="str">
        <f t="shared" si="7"/>
        <v xml:space="preserve"> </v>
      </c>
      <c r="AA38" s="1583" t="str">
        <f t="shared" si="7"/>
        <v xml:space="preserve"> </v>
      </c>
      <c r="AB38" s="1583" t="str">
        <f t="shared" si="7"/>
        <v xml:space="preserve"> </v>
      </c>
      <c r="AC38" s="1585" t="str">
        <f t="shared" si="8"/>
        <v xml:space="preserve"> </v>
      </c>
      <c r="AD38" s="1585" t="str">
        <f t="shared" si="8"/>
        <v xml:space="preserve"> </v>
      </c>
      <c r="AE38" s="1582"/>
      <c r="AF38" s="1582"/>
      <c r="AG38" s="1586" t="str">
        <f>IF(ISERROR(Z38*100000000/'Calc-Units'!$E$23)," ",Z38*100000000/'Calc-Units'!$E$23)</f>
        <v xml:space="preserve"> </v>
      </c>
      <c r="AH38" s="1586" t="str">
        <f>IF(ISERROR(AA38*100000000/'Calc-Units'!$D$23)," ",AA38*100000000/'Calc-Units'!$D$23)</f>
        <v xml:space="preserve"> </v>
      </c>
      <c r="AI38" s="1586" t="str">
        <f>IF(ISERROR(AB38*100000000/'Calc-Units'!$C$23)," ",AB38*100000000/'Calc-Units'!$C$23)</f>
        <v xml:space="preserve"> </v>
      </c>
      <c r="AJ38" s="1587" t="str">
        <f>IF(ISERROR(AC38*100000000/'Calc-Units'!$C$23)," ",AC38*100000000/'Calc-Units'!$C$23)</f>
        <v xml:space="preserve"> </v>
      </c>
      <c r="AK38" s="1588"/>
      <c r="AL38" s="1622">
        <v>0</v>
      </c>
      <c r="AM38" s="1590">
        <f t="shared" si="9"/>
        <v>0</v>
      </c>
      <c r="AN38" s="1591">
        <f t="shared" si="10"/>
        <v>0</v>
      </c>
      <c r="AO38" s="1556"/>
      <c r="AP38" s="1556"/>
      <c r="AQ38" s="1583" t="str">
        <f t="shared" si="11"/>
        <v xml:space="preserve"> </v>
      </c>
      <c r="AR38" s="1583" t="str">
        <f t="shared" si="11"/>
        <v xml:space="preserve"> </v>
      </c>
      <c r="AS38" s="1583" t="str">
        <f t="shared" si="11"/>
        <v xml:space="preserve"> </v>
      </c>
      <c r="AT38" s="1585" t="str">
        <f t="shared" si="11"/>
        <v xml:space="preserve"> </v>
      </c>
      <c r="AU38" s="1585" t="str">
        <f t="shared" si="11"/>
        <v xml:space="preserve"> </v>
      </c>
      <c r="AV38" s="1582"/>
      <c r="AW38" s="1588"/>
      <c r="AX38" s="1586" t="str">
        <f>IF(ISERROR(AQ38*100000000/'Calc-Units'!$E$23)," ",AQ38*100000000/'Calc-Units'!$E$23)</f>
        <v xml:space="preserve"> </v>
      </c>
      <c r="AY38" s="1586" t="str">
        <f>IF(ISERROR(AR38*100000000/'Calc-Units'!$D$23)," ",AR38*100000000/'Calc-Units'!$D$23)</f>
        <v xml:space="preserve"> </v>
      </c>
      <c r="AZ38" s="1586" t="str">
        <f>IF(ISERROR(AS38*100000000/'Calc-Units'!$C$23)," ",AS38*100000000/'Calc-Units'!$C$23)</f>
        <v xml:space="preserve"> </v>
      </c>
      <c r="BA38" s="1587" t="str">
        <f>IF(ISERROR(AT38*100000000/'Calc-Units'!$C$23)," ",AT38*100000000/'Calc-Units'!$C$23)</f>
        <v xml:space="preserve"> </v>
      </c>
      <c r="BC38" s="375"/>
      <c r="BD38" s="375"/>
    </row>
    <row r="39" spans="1:56" s="1494" customFormat="1">
      <c r="A39" s="1608"/>
      <c r="B39" s="1623"/>
      <c r="C39" s="1616" t="s">
        <v>565</v>
      </c>
      <c r="D39" s="1624">
        <f>'RRP 1.3'!AJ$12</f>
        <v>-26.259723587606004</v>
      </c>
      <c r="E39" s="1624">
        <v>0</v>
      </c>
      <c r="F39" s="1624">
        <v>0</v>
      </c>
      <c r="G39" s="1624">
        <v>0</v>
      </c>
      <c r="H39" s="1624">
        <v>0</v>
      </c>
      <c r="I39" s="1624">
        <f t="shared" si="5"/>
        <v>-26.259723587606004</v>
      </c>
      <c r="J39" s="1556"/>
      <c r="K39" s="1624" t="s">
        <v>895</v>
      </c>
      <c r="L39" s="1605" t="str">
        <f>IF(ISERROR(VLOOKUP($K39,'Calc-Drivers'!$B$17:$G$27,L$43,FALSE))," ",VLOOKUP($K39,'Calc-Drivers'!$B$17:$G$27,L$43,FALSE))</f>
        <v xml:space="preserve"> </v>
      </c>
      <c r="M39" s="1605" t="str">
        <f>IF(ISERROR(VLOOKUP($K39,'Calc-Drivers'!$B$17:$G$27,M$43,FALSE))," ",VLOOKUP($K39,'Calc-Drivers'!$B$17:$G$27,M$43,FALSE))</f>
        <v xml:space="preserve"> </v>
      </c>
      <c r="N39" s="1605" t="str">
        <f>IF(ISERROR(VLOOKUP($K39,'Calc-Drivers'!$B$17:$G$27,N$43,FALSE))," ",VLOOKUP($K39,'Calc-Drivers'!$B$17:$G$27,N$43,FALSE))</f>
        <v xml:space="preserve"> </v>
      </c>
      <c r="O39" s="1605" t="str">
        <f>IF(ISERROR(VLOOKUP($K39,'Calc-Drivers'!$B$17:$G$27,O$43,FALSE))," ",VLOOKUP($K39,'Calc-Drivers'!$B$17:$G$27,O$43,FALSE))</f>
        <v xml:space="preserve"> </v>
      </c>
      <c r="P39" s="1605" t="str">
        <f>IF(ISERROR(VLOOKUP($K39,'Calc-Drivers'!$B$17:$G$27,P$43,FALSE))," ",VLOOKUP($K39,'Calc-Drivers'!$B$17:$G$27,P$43,FALSE))</f>
        <v xml:space="preserve"> </v>
      </c>
      <c r="Q39" s="1578"/>
      <c r="R39" s="1579"/>
      <c r="S39" s="1599" t="str">
        <f t="shared" si="6"/>
        <v xml:space="preserve"> </v>
      </c>
      <c r="T39" s="1599" t="str">
        <f t="shared" si="6"/>
        <v xml:space="preserve"> </v>
      </c>
      <c r="U39" s="1599" t="str">
        <f t="shared" si="6"/>
        <v xml:space="preserve"> </v>
      </c>
      <c r="V39" s="1600" t="str">
        <f t="shared" si="6"/>
        <v xml:space="preserve"> </v>
      </c>
      <c r="W39" s="1600" t="str">
        <f t="shared" si="6"/>
        <v xml:space="preserve"> </v>
      </c>
      <c r="X39" s="1582"/>
      <c r="Y39" s="375"/>
      <c r="Z39" s="1599" t="str">
        <f t="shared" si="7"/>
        <v xml:space="preserve"> </v>
      </c>
      <c r="AA39" s="1599" t="str">
        <f t="shared" si="7"/>
        <v xml:space="preserve"> </v>
      </c>
      <c r="AB39" s="1599" t="str">
        <f t="shared" si="7"/>
        <v xml:space="preserve"> </v>
      </c>
      <c r="AC39" s="1600" t="str">
        <f t="shared" si="8"/>
        <v xml:space="preserve"> </v>
      </c>
      <c r="AD39" s="1600" t="str">
        <f t="shared" si="8"/>
        <v xml:space="preserve"> </v>
      </c>
      <c r="AE39" s="1582"/>
      <c r="AF39" s="1582"/>
      <c r="AG39" s="1601" t="str">
        <f>IF(ISERROR(Z39*100000000/'Calc-Units'!$E$23)," ",Z39*100000000/'Calc-Units'!$E$23)</f>
        <v xml:space="preserve"> </v>
      </c>
      <c r="AH39" s="1601" t="str">
        <f>IF(ISERROR(AA39*100000000/'Calc-Units'!$D$23)," ",AA39*100000000/'Calc-Units'!$D$23)</f>
        <v xml:space="preserve"> </v>
      </c>
      <c r="AI39" s="1601" t="str">
        <f>IF(ISERROR(AB39*100000000/'Calc-Units'!$C$23)," ",AB39*100000000/'Calc-Units'!$C$23)</f>
        <v xml:space="preserve"> </v>
      </c>
      <c r="AJ39" s="1602" t="str">
        <f>IF(ISERROR(AC39*100000000/'Calc-Units'!$C$23)," ",AC39*100000000/'Calc-Units'!$C$23)</f>
        <v xml:space="preserve"> </v>
      </c>
      <c r="AK39" s="1588"/>
      <c r="AL39" s="1622">
        <v>0</v>
      </c>
      <c r="AM39" s="1590">
        <f t="shared" si="9"/>
        <v>0</v>
      </c>
      <c r="AN39" s="1591">
        <f t="shared" si="10"/>
        <v>-26.259723587606004</v>
      </c>
      <c r="AO39" s="1556"/>
      <c r="AP39" s="1556"/>
      <c r="AQ39" s="1599" t="str">
        <f t="shared" si="11"/>
        <v xml:space="preserve"> </v>
      </c>
      <c r="AR39" s="1599" t="str">
        <f t="shared" si="11"/>
        <v xml:space="preserve"> </v>
      </c>
      <c r="AS39" s="1599" t="str">
        <f t="shared" si="11"/>
        <v xml:space="preserve"> </v>
      </c>
      <c r="AT39" s="1600" t="str">
        <f t="shared" si="11"/>
        <v xml:space="preserve"> </v>
      </c>
      <c r="AU39" s="1600" t="str">
        <f t="shared" si="11"/>
        <v xml:space="preserve"> </v>
      </c>
      <c r="AV39" s="1582"/>
      <c r="AW39" s="1588"/>
      <c r="AX39" s="1601" t="str">
        <f>IF(ISERROR(AQ39*100000000/'Calc-Units'!$E$23)," ",AQ39*100000000/'Calc-Units'!$E$23)</f>
        <v xml:space="preserve"> </v>
      </c>
      <c r="AY39" s="1601" t="str">
        <f>IF(ISERROR(AR39*100000000/'Calc-Units'!$D$23)," ",AR39*100000000/'Calc-Units'!$D$23)</f>
        <v xml:space="preserve"> </v>
      </c>
      <c r="AZ39" s="1601" t="str">
        <f>IF(ISERROR(AS39*100000000/'Calc-Units'!$C$23)," ",AS39*100000000/'Calc-Units'!$C$23)</f>
        <v xml:space="preserve"> </v>
      </c>
      <c r="BA39" s="1602" t="str">
        <f>IF(ISERROR(AT39*100000000/'Calc-Units'!$C$23)," ",AT39*100000000/'Calc-Units'!$C$23)</f>
        <v xml:space="preserve"> </v>
      </c>
      <c r="BC39" s="375"/>
      <c r="BD39" s="375"/>
    </row>
    <row r="40" spans="1:56" s="1494" customFormat="1" ht="25.5">
      <c r="A40" s="1625"/>
      <c r="B40" s="1626"/>
      <c r="C40" s="1625" t="s">
        <v>566</v>
      </c>
      <c r="D40" s="1627">
        <f>SUM(D7:D39)</f>
        <v>263.481028921031</v>
      </c>
      <c r="E40" s="1627">
        <f>SUM(E7:E39)</f>
        <v>57.184748967860131</v>
      </c>
      <c r="F40" s="1627">
        <f>SUM(F7:F39)</f>
        <v>22.266806431417415</v>
      </c>
      <c r="G40" s="1627">
        <f>SUM(G7:G39)</f>
        <v>12.824628641765324</v>
      </c>
      <c r="H40" s="1627">
        <f>SUM(H7:H39)</f>
        <v>33.024675246335057</v>
      </c>
      <c r="I40" s="1627">
        <f t="shared" si="5"/>
        <v>138.18016963365309</v>
      </c>
      <c r="J40" s="1582"/>
      <c r="K40" s="1628"/>
      <c r="L40" s="1628"/>
      <c r="M40" s="1628"/>
      <c r="N40" s="1628"/>
      <c r="O40" s="1628"/>
      <c r="P40" s="1628"/>
      <c r="Q40" s="1628"/>
      <c r="R40" s="1629" t="s">
        <v>220</v>
      </c>
      <c r="S40" s="1630">
        <f>SUM(S7:S39)</f>
        <v>14.146816481587432</v>
      </c>
      <c r="T40" s="1630">
        <f>SUM(T7:T39)</f>
        <v>10.291633024676914</v>
      </c>
      <c r="U40" s="1630">
        <f>SUM(U7:U39)</f>
        <v>2.8932906541378323</v>
      </c>
      <c r="V40" s="1630">
        <f>SUM(V7:V39)</f>
        <v>12.112060331856195</v>
      </c>
      <c r="W40" s="1627"/>
      <c r="X40" s="1631"/>
      <c r="Y40" s="1632" t="s">
        <v>897</v>
      </c>
      <c r="Z40" s="2223">
        <f>SUM(Z41:AD41)</f>
        <v>175.51010708742203</v>
      </c>
      <c r="AA40" s="2224"/>
      <c r="AB40" s="2224"/>
      <c r="AC40" s="2225"/>
      <c r="AD40" s="1633"/>
      <c r="AE40" s="1634"/>
      <c r="AF40" s="1635" t="s">
        <v>897</v>
      </c>
      <c r="AG40" s="2226">
        <f>SUM(AG41:AJ41)</f>
        <v>0.68411589285635255</v>
      </c>
      <c r="AH40" s="2227"/>
      <c r="AI40" s="2227"/>
      <c r="AJ40" s="2228"/>
      <c r="AK40" s="1588"/>
      <c r="AL40" s="1636" t="s">
        <v>220</v>
      </c>
      <c r="AM40" s="1627">
        <f>SUM(AM7:AM39)</f>
        <v>106.95329447741615</v>
      </c>
      <c r="AN40" s="1637">
        <f>SUM(AN7:AN39)</f>
        <v>156.52773444361483</v>
      </c>
      <c r="AO40" s="1638"/>
      <c r="AP40" s="1632" t="s">
        <v>897</v>
      </c>
      <c r="AQ40" s="2226">
        <f>SUM(AQ41:AU41)</f>
        <v>44.481730863935695</v>
      </c>
      <c r="AR40" s="2229"/>
      <c r="AS40" s="2229"/>
      <c r="AT40" s="2229"/>
      <c r="AU40" s="2230"/>
      <c r="AV40" s="1639"/>
      <c r="AW40" s="1635" t="s">
        <v>897</v>
      </c>
      <c r="AX40" s="1640">
        <f>SUM(AX41:BA41)</f>
        <v>0.16838760694781274</v>
      </c>
      <c r="AY40" s="1640"/>
      <c r="AZ40" s="1640"/>
      <c r="BA40" s="1640"/>
      <c r="BC40" s="375"/>
      <c r="BD40" s="375"/>
    </row>
    <row r="41" spans="1:56" s="442" customFormat="1" ht="20.25" customHeight="1">
      <c r="A41" s="1641"/>
      <c r="B41" s="1642"/>
      <c r="C41" s="1643"/>
      <c r="D41" s="1644"/>
      <c r="E41" s="1644"/>
      <c r="F41" s="1644"/>
      <c r="G41" s="1644"/>
      <c r="H41" s="1644"/>
      <c r="I41" s="1644"/>
      <c r="J41" s="1634"/>
      <c r="K41" s="1645"/>
      <c r="L41" s="1645"/>
      <c r="M41" s="1645"/>
      <c r="N41" s="1645"/>
      <c r="O41" s="1645"/>
      <c r="P41" s="1645"/>
      <c r="Q41" s="1645"/>
      <c r="R41" s="1646"/>
      <c r="S41" s="1647"/>
      <c r="T41" s="1647"/>
      <c r="U41" s="1647"/>
      <c r="V41" s="1647"/>
      <c r="W41" s="1634"/>
      <c r="X41" s="1634"/>
      <c r="Y41" s="1635" t="s">
        <v>898</v>
      </c>
      <c r="Z41" s="1648">
        <f>SUM(Z7:Z39)</f>
        <v>71.331565449447567</v>
      </c>
      <c r="AA41" s="1648">
        <f>SUM(AA7:AA39)</f>
        <v>32.558439456094327</v>
      </c>
      <c r="AB41" s="1648">
        <f>SUM(AB7:AB39)</f>
        <v>15.717919295903158</v>
      </c>
      <c r="AC41" s="1648">
        <f>SUM(AC7:AC39)</f>
        <v>29.59634512914144</v>
      </c>
      <c r="AD41" s="1648">
        <f>SUM(AD7:AD39)</f>
        <v>26.305837756835537</v>
      </c>
      <c r="AE41" s="1634"/>
      <c r="AF41" s="1635" t="s">
        <v>898</v>
      </c>
      <c r="AG41" s="1640">
        <f>SUM(AG7:AG39)</f>
        <v>0.28156957238189373</v>
      </c>
      <c r="AH41" s="1640">
        <f>SUM(AH7:AH39)</f>
        <v>0.13581452566352797</v>
      </c>
      <c r="AI41" s="1640">
        <f>SUM(AI7:AI39)</f>
        <v>9.2519847286155837E-2</v>
      </c>
      <c r="AJ41" s="1640">
        <f>SUM(AJ7:AJ39)</f>
        <v>0.17421194752477495</v>
      </c>
      <c r="AK41" s="1649"/>
      <c r="AL41" s="1650"/>
      <c r="AM41" s="1650"/>
      <c r="AN41" s="1650"/>
      <c r="AO41" s="1644"/>
      <c r="AP41" s="1635" t="s">
        <v>898</v>
      </c>
      <c r="AQ41" s="1640">
        <f>SUM(AQ7:AQ39)</f>
        <v>10.692857137856805</v>
      </c>
      <c r="AR41" s="1640">
        <f>SUM(AR7:AR39)</f>
        <v>9.6789041435654219</v>
      </c>
      <c r="AS41" s="1640">
        <f>SUM(AS7:AS39)</f>
        <v>3.8517899051079487</v>
      </c>
      <c r="AT41" s="1651">
        <f>SUM(AT7:AT39)</f>
        <v>10.725307071525004</v>
      </c>
      <c r="AU41" s="1640">
        <f>SUM(AU7:AU39)</f>
        <v>9.5328726058805113</v>
      </c>
      <c r="AV41" s="1652"/>
      <c r="AW41" s="1635" t="s">
        <v>898</v>
      </c>
      <c r="AX41" s="1653">
        <f>SUM(AX7:AX39)</f>
        <v>4.220828735324407E-2</v>
      </c>
      <c r="AY41" s="1653">
        <f>SUM(AY7:AY39)</f>
        <v>4.0374655455270497E-2</v>
      </c>
      <c r="AZ41" s="1653">
        <f>SUM(AZ7:AZ39)</f>
        <v>2.2672658326463757E-2</v>
      </c>
      <c r="BA41" s="1653">
        <f>SUM(BA7:BA39)</f>
        <v>6.3132005812834416E-2</v>
      </c>
      <c r="BC41" s="1543"/>
      <c r="BD41" s="1543"/>
    </row>
    <row r="42" spans="1:56" s="1494" customFormat="1" ht="20.25" customHeight="1">
      <c r="A42" s="1654"/>
      <c r="B42" s="1655"/>
      <c r="C42" s="1655"/>
      <c r="D42" s="1628"/>
      <c r="E42" s="1628"/>
      <c r="F42" s="1628"/>
      <c r="G42" s="1628"/>
      <c r="H42" s="1628"/>
      <c r="I42" s="1628"/>
      <c r="J42" s="1582"/>
      <c r="K42" s="1556"/>
      <c r="L42" s="1596"/>
      <c r="M42" s="1556"/>
      <c r="N42" s="1556"/>
      <c r="O42" s="1556"/>
      <c r="P42" s="1556"/>
      <c r="Q42" s="1556"/>
      <c r="R42" s="1579"/>
      <c r="S42" s="1582"/>
      <c r="T42" s="1582"/>
      <c r="U42" s="1582"/>
      <c r="V42" s="1582"/>
      <c r="W42" s="1582"/>
      <c r="X42" s="1582"/>
      <c r="Y42" s="1656" t="s">
        <v>899</v>
      </c>
      <c r="Z42" s="1657">
        <f>Z41/$Z$40</f>
        <v>0.40642426030722628</v>
      </c>
      <c r="AA42" s="1657">
        <f>AA41/$Z$40</f>
        <v>0.18550749011780207</v>
      </c>
      <c r="AB42" s="1657">
        <f>AB41/$Z$40</f>
        <v>8.9555636178114933E-2</v>
      </c>
      <c r="AC42" s="1657">
        <f>AC41/$Z$40</f>
        <v>0.16863043171866693</v>
      </c>
      <c r="AD42" s="1657">
        <f>AD41/$Z$40</f>
        <v>0.14988218167818981</v>
      </c>
      <c r="AE42" s="1582"/>
      <c r="AF42" s="1656" t="s">
        <v>899</v>
      </c>
      <c r="AG42" s="1657">
        <f>AG41/$AG$40</f>
        <v>0.41158168567941222</v>
      </c>
      <c r="AH42" s="1657">
        <f>AH41/$AG$40</f>
        <v>0.19852561105760727</v>
      </c>
      <c r="AI42" s="1657">
        <f>AI41/$AG$40</f>
        <v>0.13524002037120153</v>
      </c>
      <c r="AJ42" s="1657">
        <f>AJ41/$AG$40</f>
        <v>0.25465268289177895</v>
      </c>
      <c r="AK42" s="1588"/>
      <c r="AL42" s="1628"/>
      <c r="AM42" s="1628"/>
      <c r="AN42" s="1628"/>
      <c r="AO42" s="1628"/>
      <c r="AP42" s="1635" t="s">
        <v>899</v>
      </c>
      <c r="AQ42" s="1658">
        <f>AQ41/$AQ$40</f>
        <v>0.24038761375012538</v>
      </c>
      <c r="AR42" s="1658">
        <f>AR41/$AQ$40</f>
        <v>0.21759279496501685</v>
      </c>
      <c r="AS42" s="1658">
        <f>AS41/$AQ$40</f>
        <v>8.6592626462538388E-2</v>
      </c>
      <c r="AT42" s="1659">
        <f>AT41/$AQ$40</f>
        <v>0.2411171252380542</v>
      </c>
      <c r="AU42" s="1660">
        <f>AU41/$AQ$40</f>
        <v>0.21430983958426508</v>
      </c>
      <c r="AV42" s="1661"/>
      <c r="AW42" s="1635" t="s">
        <v>899</v>
      </c>
      <c r="AX42" s="1660">
        <f>AX41/$AX$40</f>
        <v>0.25066148345659078</v>
      </c>
      <c r="AY42" s="1660">
        <f>AY41/$AX$40</f>
        <v>0.23977213161407743</v>
      </c>
      <c r="AZ42" s="1660">
        <f>AZ41/$AX$40</f>
        <v>0.13464564725057554</v>
      </c>
      <c r="BA42" s="1660">
        <f>BA41/$AX$40</f>
        <v>0.37492073767875628</v>
      </c>
      <c r="BC42" s="375"/>
      <c r="BD42" s="375"/>
    </row>
    <row r="43" spans="1:56" s="1664" customFormat="1">
      <c r="A43" s="2231"/>
      <c r="B43" s="2231"/>
      <c r="C43" s="1662"/>
      <c r="D43" s="1663"/>
      <c r="I43" s="1665"/>
      <c r="J43" s="1666"/>
      <c r="K43" s="1667" t="s">
        <v>900</v>
      </c>
      <c r="L43" s="1667">
        <v>6</v>
      </c>
      <c r="M43" s="1667">
        <v>5</v>
      </c>
      <c r="N43" s="1667">
        <v>4</v>
      </c>
      <c r="O43" s="1667">
        <v>3</v>
      </c>
      <c r="P43" s="1667">
        <v>2</v>
      </c>
      <c r="Q43" s="1667"/>
      <c r="R43" s="1668"/>
      <c r="S43" s="1665"/>
      <c r="T43" s="1665"/>
      <c r="U43" s="1665"/>
      <c r="V43" s="1665"/>
      <c r="W43" s="1665"/>
      <c r="X43" s="1665"/>
      <c r="Y43" s="1669"/>
      <c r="Z43" s="1670"/>
      <c r="AA43" s="1670"/>
      <c r="AB43" s="1670"/>
      <c r="AC43" s="1670"/>
      <c r="AD43" s="1665"/>
      <c r="AE43" s="1665"/>
      <c r="AF43" s="1665"/>
      <c r="AG43" s="1671"/>
      <c r="AH43" s="1671"/>
      <c r="AI43" s="1671"/>
      <c r="AJ43" s="1671"/>
      <c r="AK43" s="1671"/>
      <c r="AL43" s="1672"/>
      <c r="AM43" s="1666"/>
      <c r="AN43" s="1666"/>
      <c r="AO43" s="1666"/>
      <c r="AP43" s="1666"/>
      <c r="AQ43" s="1665" t="s">
        <v>901</v>
      </c>
      <c r="AR43" s="1665"/>
      <c r="AS43" s="1665"/>
      <c r="AT43" s="1665"/>
      <c r="AU43" s="1665"/>
      <c r="AV43" s="1665"/>
      <c r="AW43" s="1671"/>
      <c r="AX43" s="1671"/>
      <c r="AY43" s="1671"/>
      <c r="AZ43" s="1671"/>
      <c r="BA43" s="1671"/>
    </row>
    <row r="44" spans="1:56" s="1664" customFormat="1">
      <c r="A44" s="2231"/>
      <c r="B44" s="2231"/>
      <c r="C44" s="1662"/>
      <c r="D44" s="1673"/>
      <c r="I44" s="1665"/>
      <c r="J44" s="1666"/>
      <c r="L44" s="1668"/>
      <c r="M44" s="1668"/>
      <c r="N44" s="1668"/>
      <c r="O44" s="1668"/>
      <c r="P44" s="1668"/>
      <c r="Q44" s="1668"/>
      <c r="R44" s="1668"/>
      <c r="S44" s="1665"/>
      <c r="T44" s="1665"/>
      <c r="U44" s="1665"/>
      <c r="V44" s="1665"/>
      <c r="W44" s="1665"/>
      <c r="X44" s="1665"/>
      <c r="Y44" s="1674"/>
      <c r="Z44" s="1675"/>
      <c r="AA44" s="1675"/>
      <c r="AB44" s="1675"/>
      <c r="AC44" s="1675"/>
      <c r="AD44" s="1665"/>
      <c r="AE44" s="1665"/>
      <c r="AF44" s="1665"/>
      <c r="AG44" s="1671"/>
      <c r="AH44" s="1671"/>
      <c r="AI44" s="1671"/>
      <c r="AJ44" s="1671"/>
      <c r="AK44" s="1671"/>
      <c r="AL44" s="1672"/>
      <c r="AM44" s="1666"/>
      <c r="AN44" s="1666"/>
      <c r="AO44" s="1666"/>
      <c r="AP44" s="1666"/>
      <c r="AQ44" s="1665"/>
      <c r="AR44" s="1665"/>
      <c r="AS44" s="1665"/>
      <c r="AT44" s="1665"/>
      <c r="AU44" s="1665"/>
      <c r="AV44" s="1665"/>
      <c r="AW44" s="1671"/>
      <c r="AX44" s="1671"/>
      <c r="AY44" s="1671"/>
      <c r="AZ44" s="1671"/>
      <c r="BA44" s="1671"/>
    </row>
    <row r="45" spans="1:56" s="1664" customFormat="1">
      <c r="A45" s="2231"/>
      <c r="B45" s="2231"/>
      <c r="C45" s="1662"/>
      <c r="D45" s="1663"/>
      <c r="I45" s="1665"/>
      <c r="J45" s="1666"/>
      <c r="L45" s="1668"/>
      <c r="M45" s="1668"/>
      <c r="N45" s="1668"/>
      <c r="O45" s="1668"/>
      <c r="P45" s="1668"/>
      <c r="Q45" s="1668"/>
      <c r="R45" s="1668"/>
      <c r="S45" s="1665"/>
      <c r="T45" s="1665"/>
      <c r="U45" s="1665"/>
      <c r="V45" s="1665"/>
      <c r="W45" s="1665"/>
      <c r="X45" s="1665"/>
      <c r="Y45" s="1664" t="s">
        <v>902</v>
      </c>
      <c r="AD45" s="1665"/>
      <c r="AE45" s="1665"/>
      <c r="AF45" s="1665"/>
      <c r="AG45" s="1671"/>
      <c r="AH45" s="1671"/>
      <c r="AI45" s="1671"/>
      <c r="AJ45" s="1671"/>
      <c r="AK45" s="1671"/>
      <c r="AL45" s="1672"/>
      <c r="AM45" s="1666"/>
      <c r="AN45" s="1666"/>
      <c r="AO45" s="1666"/>
      <c r="AP45" s="1666"/>
      <c r="AQ45" s="1665"/>
      <c r="AR45" s="1665"/>
      <c r="AS45" s="1665"/>
      <c r="AT45" s="1665"/>
      <c r="AU45" s="1665"/>
      <c r="AV45" s="1665"/>
      <c r="AW45" s="1671"/>
      <c r="AX45" s="1671"/>
      <c r="AY45" s="1671"/>
      <c r="AZ45" s="1671"/>
      <c r="BA45" s="1671"/>
    </row>
    <row r="46" spans="1:56" s="1664" customFormat="1">
      <c r="A46" s="2231"/>
      <c r="B46" s="2231"/>
      <c r="C46" s="1662"/>
      <c r="D46" s="1663"/>
      <c r="I46" s="1665"/>
      <c r="J46" s="1666"/>
      <c r="L46" s="1668"/>
      <c r="M46" s="1668"/>
      <c r="N46" s="1668"/>
      <c r="O46" s="1668"/>
      <c r="P46" s="1668"/>
      <c r="Q46" s="1668"/>
      <c r="R46" s="1668"/>
      <c r="S46" s="1665"/>
      <c r="T46" s="1665"/>
      <c r="U46" s="1665"/>
      <c r="V46" s="1665"/>
      <c r="W46" s="1665"/>
      <c r="X46" s="1665"/>
      <c r="AD46" s="1665"/>
      <c r="AE46" s="1665"/>
      <c r="AF46" s="1665"/>
      <c r="AG46" s="1671"/>
      <c r="AH46" s="1671"/>
      <c r="AI46" s="1671"/>
      <c r="AJ46" s="1671"/>
      <c r="AK46" s="1671"/>
      <c r="AL46" s="1672"/>
      <c r="AM46" s="1666"/>
      <c r="AN46" s="1666"/>
      <c r="AO46" s="1666"/>
      <c r="AP46" s="1666"/>
      <c r="AQ46" s="1665"/>
      <c r="AR46" s="1665"/>
      <c r="AS46" s="1665"/>
      <c r="AT46" s="1665"/>
      <c r="AU46" s="1665"/>
      <c r="AV46" s="1665"/>
      <c r="AW46" s="1671"/>
      <c r="AX46" s="1671"/>
      <c r="AY46" s="1671"/>
      <c r="AZ46" s="1671"/>
      <c r="BA46" s="1671"/>
    </row>
    <row r="47" spans="1:56" s="1664" customFormat="1">
      <c r="A47" s="2231"/>
      <c r="B47" s="2231"/>
      <c r="C47" s="1662"/>
      <c r="D47" s="1663"/>
      <c r="I47" s="1665"/>
      <c r="J47" s="1666"/>
      <c r="L47" s="1668"/>
      <c r="M47" s="1668"/>
      <c r="N47" s="1668"/>
      <c r="O47" s="1668"/>
      <c r="P47" s="1668"/>
      <c r="Q47" s="1668"/>
      <c r="R47" s="1668"/>
      <c r="S47" s="1665"/>
      <c r="T47" s="1665"/>
      <c r="U47" s="1665"/>
      <c r="V47" s="1665"/>
      <c r="W47" s="1665"/>
      <c r="X47" s="1665"/>
      <c r="Y47" s="1676" t="s">
        <v>903</v>
      </c>
      <c r="Z47" s="1677">
        <f>SUMIF(Z7:Z12,"&gt;0",Z7:Z12)+SUMIF(Z28:Z39,"&gt;0",Z28:Z39)</f>
        <v>56.947698718523704</v>
      </c>
      <c r="AA47" s="1677">
        <f>SUMIF(AA7:AA12,"&gt;0",AA7:AA12)+SUMIF(AA28:AA39,"&gt;0",AA28:AA39)</f>
        <v>22.161270683280257</v>
      </c>
      <c r="AB47" s="1677">
        <f>SUMIF(AB7:AB12,"&gt;0",AB7:AB12)+SUMIF(AB28:AB39,"&gt;0",AB28:AB39)</f>
        <v>12.781454406818083</v>
      </c>
      <c r="AC47" s="1677">
        <f>SUMIF(AC7:AC12,"&gt;0",AC7:AC12)+SUMIF(AC28:AC39,"&gt;0",AC28:AC39)</f>
        <v>17.281329812650984</v>
      </c>
      <c r="AD47" s="1677">
        <f>SUMIF(AD7:AD12,"&gt;0",AD7:AD12)+SUMIF(AD28:AD39,"&gt;0",AD28:AD39)</f>
        <v>15.35999990168885</v>
      </c>
      <c r="AE47" s="1665"/>
      <c r="AF47" s="1665"/>
      <c r="AG47" s="1671"/>
      <c r="AH47" s="1671"/>
      <c r="AI47" s="1671"/>
      <c r="AJ47" s="1671"/>
      <c r="AK47" s="1671"/>
      <c r="AL47" s="1672"/>
      <c r="AM47" s="1666"/>
      <c r="AN47" s="1666"/>
      <c r="AO47" s="1666"/>
      <c r="AP47" s="1666"/>
      <c r="AQ47" s="1665"/>
      <c r="AR47" s="1665"/>
      <c r="AS47" s="1665"/>
      <c r="AT47" s="1665"/>
      <c r="AU47" s="1665"/>
      <c r="AV47" s="1665"/>
      <c r="AW47" s="1671"/>
      <c r="AX47" s="1671"/>
      <c r="AY47" s="1671"/>
      <c r="AZ47" s="1671"/>
      <c r="BA47" s="1671"/>
    </row>
    <row r="48" spans="1:56" s="1664" customFormat="1">
      <c r="A48" s="2231"/>
      <c r="B48" s="2231"/>
      <c r="C48" s="1662"/>
      <c r="D48" s="1663"/>
      <c r="E48" s="1665"/>
      <c r="F48" s="1665"/>
      <c r="G48" s="1665"/>
      <c r="H48" s="1665"/>
      <c r="I48" s="1665"/>
      <c r="J48" s="1666"/>
      <c r="L48" s="1668"/>
      <c r="M48" s="1668"/>
      <c r="N48" s="1668"/>
      <c r="O48" s="1668"/>
      <c r="P48" s="1668"/>
      <c r="Q48" s="1668"/>
      <c r="R48" s="1668"/>
      <c r="S48" s="1665"/>
      <c r="T48" s="1665"/>
      <c r="U48" s="1665"/>
      <c r="V48" s="1665"/>
      <c r="W48" s="1665"/>
      <c r="X48" s="1665"/>
      <c r="Y48" s="1678" t="s">
        <v>904</v>
      </c>
      <c r="Z48" s="1679">
        <f>SUMIF(Z13:Z28,"&gt;0",Z13:Z28)</f>
        <v>14.383866730923856</v>
      </c>
      <c r="AA48" s="1679">
        <f>SUMIF(AA13:AA28,"&gt;0",AA13:AA28)</f>
        <v>10.464084132511237</v>
      </c>
      <c r="AB48" s="1679">
        <f>SUMIF(AB13:AB28,"&gt;0",AB13:AB28)</f>
        <v>2.9417718987951567</v>
      </c>
      <c r="AC48" s="1679">
        <f>SUMIF(AC13:AC28,"&gt;0",AC13:AC28)</f>
        <v>12.315015316490456</v>
      </c>
      <c r="AD48" s="1679">
        <f>SUMIF(AD13:AD28,"&gt;0",AD13:AD28)</f>
        <v>10.945837855146685</v>
      </c>
      <c r="AE48" s="1665"/>
      <c r="AF48" s="1665"/>
      <c r="AG48" s="1671"/>
      <c r="AH48" s="1671"/>
      <c r="AI48" s="1671"/>
      <c r="AJ48" s="1671"/>
      <c r="AK48" s="1671"/>
      <c r="AL48" s="1672"/>
      <c r="AM48" s="1666"/>
      <c r="AN48" s="1666"/>
      <c r="AO48" s="1666"/>
      <c r="AP48" s="1666"/>
      <c r="AQ48" s="1665"/>
      <c r="AR48" s="1665"/>
      <c r="AS48" s="1665"/>
      <c r="AT48" s="1665"/>
      <c r="AU48" s="1665"/>
      <c r="AV48" s="1665"/>
      <c r="AW48" s="1671"/>
      <c r="AX48" s="1671"/>
      <c r="AY48" s="1671"/>
      <c r="AZ48" s="1671"/>
      <c r="BA48" s="1671"/>
    </row>
    <row r="49" spans="1:53" s="1664" customFormat="1">
      <c r="A49" s="2231"/>
      <c r="B49" s="2231"/>
      <c r="C49" s="1662"/>
      <c r="D49" s="1663"/>
      <c r="I49" s="1665"/>
      <c r="J49" s="1666"/>
      <c r="L49" s="1668"/>
      <c r="M49" s="1668"/>
      <c r="N49" s="1668"/>
      <c r="O49" s="1668"/>
      <c r="P49" s="1668"/>
      <c r="Q49" s="1668"/>
      <c r="R49" s="1668"/>
      <c r="S49" s="1665"/>
      <c r="T49" s="1665"/>
      <c r="U49" s="1665"/>
      <c r="V49" s="1665"/>
      <c r="W49" s="1665"/>
      <c r="X49" s="1665"/>
      <c r="Y49" s="1678" t="s">
        <v>905</v>
      </c>
      <c r="Z49" s="1680">
        <f>Z47/(Z48+Z47)</f>
        <v>0.7983520109183968</v>
      </c>
      <c r="AA49" s="1681">
        <f>AA47/(AA48+AA47)</f>
        <v>0.67926527721787844</v>
      </c>
      <c r="AB49" s="1681">
        <f>AB47/(AB48+AB47)</f>
        <v>0.81290278206166022</v>
      </c>
      <c r="AC49" s="1682">
        <f>AC47/(AC48+AC47)</f>
        <v>0.58390080725323323</v>
      </c>
      <c r="AD49" s="1682">
        <f>AD47/(AD48+AD47)</f>
        <v>0.58390080725323312</v>
      </c>
      <c r="AE49" s="1683"/>
      <c r="AF49" s="1665"/>
      <c r="AG49" s="1671"/>
      <c r="AH49" s="1671"/>
      <c r="AI49" s="1671"/>
      <c r="AJ49" s="1671"/>
      <c r="AK49" s="1671"/>
      <c r="AL49" s="1672"/>
      <c r="AM49" s="1666"/>
      <c r="AN49" s="1666"/>
      <c r="AO49" s="1666"/>
      <c r="AP49" s="1666"/>
      <c r="AQ49" s="1665"/>
      <c r="AR49" s="1665"/>
      <c r="AS49" s="1665"/>
      <c r="AT49" s="1665"/>
      <c r="AU49" s="1665"/>
      <c r="AV49" s="1665"/>
      <c r="AW49" s="1671"/>
      <c r="AX49" s="1671"/>
      <c r="AY49" s="1671"/>
      <c r="AZ49" s="1671"/>
      <c r="BA49" s="1671"/>
    </row>
    <row r="50" spans="1:53" s="1664" customFormat="1">
      <c r="A50" s="2231"/>
      <c r="B50" s="2231"/>
      <c r="C50" s="1662"/>
      <c r="D50" s="1663"/>
      <c r="I50" s="1665"/>
      <c r="J50" s="1666"/>
      <c r="L50" s="1668"/>
      <c r="M50" s="1668"/>
      <c r="N50" s="1668"/>
      <c r="O50" s="1668"/>
      <c r="P50" s="1668"/>
      <c r="Q50" s="1668"/>
      <c r="R50" s="1668"/>
      <c r="S50" s="1665"/>
      <c r="T50" s="1665"/>
      <c r="U50" s="1665"/>
      <c r="V50" s="1665"/>
      <c r="W50" s="1665"/>
      <c r="X50" s="1665"/>
      <c r="Y50" s="1684" t="s">
        <v>906</v>
      </c>
      <c r="Z50" s="1685">
        <f>Z48/(Z47+Z48)</f>
        <v>0.20164798908160306</v>
      </c>
      <c r="AA50" s="1686">
        <f>AA48/(AA47+AA48)</f>
        <v>0.32073472278212145</v>
      </c>
      <c r="AB50" s="1686">
        <f>AB48/(AB47+AB48)</f>
        <v>0.18709721793833972</v>
      </c>
      <c r="AC50" s="1686">
        <f>AC48/(AC47+AC48)</f>
        <v>0.41609919274676677</v>
      </c>
      <c r="AD50" s="1686">
        <f>AD48/(AD47+AD48)</f>
        <v>0.41609919274676677</v>
      </c>
      <c r="AE50" s="1683"/>
      <c r="AF50" s="1665"/>
      <c r="AG50" s="1671"/>
      <c r="AH50" s="1671"/>
      <c r="AI50" s="1671"/>
      <c r="AJ50" s="1671"/>
      <c r="AK50" s="1671"/>
      <c r="AL50" s="1672"/>
      <c r="AM50" s="1666"/>
      <c r="AN50" s="1666"/>
      <c r="AO50" s="1666"/>
      <c r="AP50" s="1666"/>
      <c r="AQ50" s="1665"/>
      <c r="AR50" s="1665"/>
      <c r="AS50" s="1665"/>
      <c r="AT50" s="1665"/>
      <c r="AU50" s="1665"/>
      <c r="AV50" s="1665"/>
      <c r="AW50" s="1671"/>
      <c r="AX50" s="1671"/>
      <c r="AY50" s="1671"/>
      <c r="AZ50" s="1671"/>
      <c r="BA50" s="1671"/>
    </row>
    <row r="51" spans="1:53" s="1664" customFormat="1">
      <c r="A51" s="2231"/>
      <c r="B51" s="2231"/>
      <c r="C51" s="1662"/>
      <c r="D51" s="1663"/>
      <c r="I51" s="1665"/>
      <c r="J51" s="1666"/>
      <c r="L51" s="1668"/>
      <c r="M51" s="1668"/>
      <c r="N51" s="1668"/>
      <c r="O51" s="1668"/>
      <c r="P51" s="1668"/>
      <c r="Q51" s="1668"/>
      <c r="R51" s="1668"/>
      <c r="S51" s="1665"/>
      <c r="T51" s="1665"/>
      <c r="U51" s="1665"/>
      <c r="V51" s="1665"/>
      <c r="W51" s="1665"/>
      <c r="X51" s="1665"/>
      <c r="Z51" s="1665"/>
      <c r="AA51" s="1665"/>
      <c r="AB51" s="1665"/>
      <c r="AC51" s="1665"/>
      <c r="AD51" s="1665"/>
      <c r="AE51" s="1665"/>
      <c r="AF51" s="1665"/>
      <c r="AG51" s="1671"/>
      <c r="AH51" s="1671"/>
      <c r="AI51" s="1671"/>
      <c r="AJ51" s="1671"/>
      <c r="AK51" s="1671"/>
      <c r="AL51" s="1672"/>
      <c r="AM51" s="1666"/>
      <c r="AN51" s="1666"/>
      <c r="AO51" s="1666"/>
      <c r="AP51" s="1666"/>
      <c r="AQ51" s="1665"/>
      <c r="AR51" s="1665"/>
      <c r="AS51" s="1665"/>
      <c r="AT51" s="1665"/>
      <c r="AU51" s="1665"/>
      <c r="AV51" s="1665"/>
      <c r="AW51" s="1671"/>
      <c r="AX51" s="1671"/>
      <c r="AY51" s="1671"/>
      <c r="AZ51" s="1671"/>
      <c r="BA51" s="1671"/>
    </row>
    <row r="52" spans="1:53" s="1664" customFormat="1">
      <c r="A52" s="2231"/>
      <c r="B52" s="2231"/>
      <c r="C52" s="1662"/>
      <c r="D52" s="1663"/>
      <c r="I52" s="1665"/>
      <c r="J52" s="1666"/>
      <c r="L52" s="1668"/>
      <c r="M52" s="1668"/>
      <c r="N52" s="1668"/>
      <c r="O52" s="1668"/>
      <c r="P52" s="1668"/>
      <c r="Q52" s="1668"/>
      <c r="R52" s="1668"/>
      <c r="S52" s="1665"/>
      <c r="T52" s="1665"/>
      <c r="U52" s="1665"/>
      <c r="V52" s="1665"/>
      <c r="W52" s="1665"/>
      <c r="X52" s="1665"/>
      <c r="Z52" s="1665"/>
      <c r="AA52" s="1665"/>
      <c r="AB52" s="1665"/>
      <c r="AC52" s="1665"/>
      <c r="AD52" s="1665"/>
      <c r="AE52" s="1665"/>
      <c r="AF52" s="1665"/>
      <c r="AG52" s="1671"/>
      <c r="AH52" s="1671"/>
      <c r="AI52" s="1671"/>
      <c r="AJ52" s="1671"/>
      <c r="AK52" s="1671"/>
      <c r="AL52" s="1672"/>
      <c r="AM52" s="1666"/>
      <c r="AN52" s="1666"/>
      <c r="AO52" s="1666"/>
      <c r="AP52" s="1666"/>
      <c r="AQ52" s="1665"/>
      <c r="AR52" s="1665"/>
      <c r="AS52" s="1665"/>
      <c r="AT52" s="1665"/>
      <c r="AU52" s="1665"/>
      <c r="AV52" s="1665"/>
      <c r="AW52" s="1671"/>
      <c r="AX52" s="1671"/>
      <c r="AY52" s="1671"/>
      <c r="AZ52" s="1671"/>
      <c r="BA52" s="1671"/>
    </row>
    <row r="53" spans="1:53" s="1664" customFormat="1">
      <c r="A53" s="2231"/>
      <c r="B53" s="2231"/>
      <c r="C53" s="1662"/>
      <c r="D53" s="1663"/>
      <c r="I53" s="1665"/>
      <c r="J53" s="1666"/>
      <c r="L53" s="1668"/>
      <c r="M53" s="1668"/>
      <c r="N53" s="1668"/>
      <c r="O53" s="1668"/>
      <c r="P53" s="1668"/>
      <c r="Q53" s="1668"/>
      <c r="R53" s="1668"/>
      <c r="S53" s="1665"/>
      <c r="T53" s="1665"/>
      <c r="U53" s="1665"/>
      <c r="V53" s="1665"/>
      <c r="W53" s="1665"/>
      <c r="X53" s="1665"/>
      <c r="Z53" s="1665"/>
      <c r="AA53" s="1665"/>
      <c r="AB53" s="1665"/>
      <c r="AC53" s="1665"/>
      <c r="AD53" s="1665"/>
      <c r="AE53" s="1665"/>
      <c r="AF53" s="1665"/>
      <c r="AG53" s="1671"/>
      <c r="AH53" s="1671"/>
      <c r="AI53" s="1671"/>
      <c r="AJ53" s="1671"/>
      <c r="AK53" s="1671"/>
      <c r="AL53" s="1672"/>
      <c r="AM53" s="1666"/>
      <c r="AN53" s="1666"/>
      <c r="AO53" s="1666"/>
      <c r="AP53" s="1666"/>
      <c r="AQ53" s="1665"/>
      <c r="AR53" s="1665"/>
      <c r="AS53" s="1665"/>
      <c r="AT53" s="1665"/>
      <c r="AU53" s="1665"/>
      <c r="AV53" s="1665"/>
      <c r="AW53" s="1671"/>
      <c r="AX53" s="1671"/>
      <c r="AY53" s="1671"/>
      <c r="AZ53" s="1671"/>
      <c r="BA53" s="1671"/>
    </row>
    <row r="54" spans="1:53" s="1664" customFormat="1">
      <c r="A54" s="2231"/>
      <c r="B54" s="2231"/>
      <c r="C54" s="1662"/>
      <c r="D54" s="1663"/>
      <c r="I54" s="1665"/>
      <c r="J54" s="1666"/>
      <c r="L54" s="1668"/>
      <c r="M54" s="1668"/>
      <c r="N54" s="1668"/>
      <c r="O54" s="1668"/>
      <c r="P54" s="1668"/>
      <c r="Q54" s="1668"/>
      <c r="R54" s="1668"/>
      <c r="S54" s="1665"/>
      <c r="T54" s="1665"/>
      <c r="U54" s="1665"/>
      <c r="V54" s="1665"/>
      <c r="W54" s="1665"/>
      <c r="X54" s="1665"/>
      <c r="Z54" s="1665"/>
      <c r="AA54" s="1665"/>
      <c r="AB54" s="1665"/>
      <c r="AC54" s="1665"/>
      <c r="AD54" s="1665"/>
      <c r="AE54" s="1665"/>
      <c r="AF54" s="1665"/>
      <c r="AG54" s="1671"/>
      <c r="AH54" s="1671"/>
      <c r="AI54" s="1671"/>
      <c r="AJ54" s="1671"/>
      <c r="AK54" s="1671"/>
      <c r="AL54" s="1672"/>
      <c r="AM54" s="1666"/>
      <c r="AN54" s="1666"/>
      <c r="AO54" s="1666"/>
      <c r="AP54" s="1666"/>
      <c r="AQ54" s="1665"/>
      <c r="AR54" s="1665"/>
      <c r="AS54" s="1665"/>
      <c r="AT54" s="1665"/>
      <c r="AU54" s="1665"/>
      <c r="AV54" s="1665"/>
      <c r="AW54" s="1671"/>
      <c r="AX54" s="1671"/>
      <c r="AY54" s="1671"/>
      <c r="AZ54" s="1671"/>
      <c r="BA54" s="1671"/>
    </row>
    <row r="55" spans="1:53" s="1664" customFormat="1">
      <c r="A55" s="2231"/>
      <c r="B55" s="2231"/>
      <c r="C55" s="1662"/>
      <c r="D55" s="1663"/>
      <c r="I55" s="1665"/>
      <c r="J55" s="1666"/>
      <c r="L55" s="1668"/>
      <c r="M55" s="1668"/>
      <c r="N55" s="1668"/>
      <c r="O55" s="1668"/>
      <c r="P55" s="1668"/>
      <c r="Q55" s="1668"/>
      <c r="R55" s="1668"/>
      <c r="S55" s="1665"/>
      <c r="T55" s="1665"/>
      <c r="U55" s="1665"/>
      <c r="V55" s="1665"/>
      <c r="W55" s="1665"/>
      <c r="X55" s="1665"/>
      <c r="Z55" s="1665"/>
      <c r="AA55" s="1665"/>
      <c r="AB55" s="1665"/>
      <c r="AC55" s="1665"/>
      <c r="AD55" s="1665"/>
      <c r="AE55" s="1665"/>
      <c r="AF55" s="1665"/>
      <c r="AG55" s="1671"/>
      <c r="AH55" s="1671"/>
      <c r="AI55" s="1671"/>
      <c r="AJ55" s="1671"/>
      <c r="AK55" s="1671"/>
      <c r="AL55" s="1672"/>
      <c r="AM55" s="1666"/>
      <c r="AN55" s="1666"/>
      <c r="AO55" s="1666"/>
      <c r="AP55" s="1666"/>
      <c r="AQ55" s="1665"/>
      <c r="AR55" s="1665"/>
      <c r="AS55" s="1665"/>
      <c r="AT55" s="1665"/>
      <c r="AU55" s="1665"/>
      <c r="AV55" s="1665"/>
      <c r="AW55" s="1671"/>
      <c r="AX55" s="1671"/>
      <c r="AY55" s="1671"/>
      <c r="AZ55" s="1671"/>
      <c r="BA55" s="1671"/>
    </row>
    <row r="56" spans="1:53" s="1664" customFormat="1">
      <c r="A56" s="2231"/>
      <c r="B56" s="2231"/>
      <c r="C56" s="1662"/>
      <c r="D56" s="1663"/>
      <c r="I56" s="1665"/>
      <c r="J56" s="1666"/>
      <c r="L56" s="1668"/>
      <c r="M56" s="1668"/>
      <c r="N56" s="1668"/>
      <c r="O56" s="1668"/>
      <c r="P56" s="1668"/>
      <c r="Q56" s="1668"/>
      <c r="R56" s="1668"/>
      <c r="S56" s="1665"/>
      <c r="T56" s="1665"/>
      <c r="U56" s="1665"/>
      <c r="V56" s="1665"/>
      <c r="W56" s="1665"/>
      <c r="X56" s="1665"/>
      <c r="Z56" s="1665"/>
      <c r="AA56" s="1665"/>
      <c r="AB56" s="1665"/>
      <c r="AC56" s="1665"/>
      <c r="AD56" s="1665"/>
      <c r="AE56" s="1665"/>
      <c r="AF56" s="1665"/>
      <c r="AG56" s="1671"/>
      <c r="AH56" s="1671"/>
      <c r="AI56" s="1671"/>
      <c r="AJ56" s="1671"/>
      <c r="AK56" s="1671"/>
      <c r="AL56" s="1672"/>
      <c r="AM56" s="1666"/>
      <c r="AN56" s="1666"/>
      <c r="AO56" s="1666"/>
      <c r="AP56" s="1666"/>
      <c r="AQ56" s="1665"/>
      <c r="AR56" s="1665"/>
      <c r="AS56" s="1665"/>
      <c r="AT56" s="1665"/>
      <c r="AU56" s="1665"/>
      <c r="AV56" s="1665"/>
      <c r="AW56" s="1671"/>
      <c r="AX56" s="1671"/>
      <c r="AY56" s="1671"/>
      <c r="AZ56" s="1671"/>
      <c r="BA56" s="1671"/>
    </row>
    <row r="57" spans="1:53" s="1664" customFormat="1">
      <c r="A57" s="2231"/>
      <c r="B57" s="2231"/>
      <c r="C57" s="1662"/>
      <c r="D57" s="1663"/>
      <c r="I57" s="1665"/>
      <c r="J57" s="1666"/>
      <c r="L57" s="1668"/>
      <c r="M57" s="1668"/>
      <c r="N57" s="1668"/>
      <c r="O57" s="1668"/>
      <c r="P57" s="1668"/>
      <c r="Q57" s="1668"/>
      <c r="R57" s="1668"/>
      <c r="S57" s="1665"/>
      <c r="T57" s="1665"/>
      <c r="U57" s="1665"/>
      <c r="V57" s="1665"/>
      <c r="W57" s="1665"/>
      <c r="X57" s="1665"/>
      <c r="Z57" s="1665"/>
      <c r="AA57" s="1665"/>
      <c r="AB57" s="1665"/>
      <c r="AC57" s="1665"/>
      <c r="AD57" s="1665"/>
      <c r="AE57" s="1665"/>
      <c r="AF57" s="1665"/>
      <c r="AG57" s="1671"/>
      <c r="AH57" s="1671"/>
      <c r="AI57" s="1671"/>
      <c r="AJ57" s="1671"/>
      <c r="AK57" s="1671"/>
      <c r="AL57" s="1672"/>
      <c r="AM57" s="1666"/>
      <c r="AN57" s="1666"/>
      <c r="AO57" s="1666"/>
      <c r="AP57" s="1666"/>
      <c r="AQ57" s="1665"/>
      <c r="AR57" s="1665"/>
      <c r="AS57" s="1665"/>
      <c r="AT57" s="1665"/>
      <c r="AU57" s="1665"/>
      <c r="AV57" s="1665"/>
      <c r="AW57" s="1671"/>
      <c r="AX57" s="1671"/>
      <c r="AY57" s="1671"/>
      <c r="AZ57" s="1671"/>
      <c r="BA57" s="1671"/>
    </row>
    <row r="58" spans="1:53" s="1664" customFormat="1">
      <c r="A58" s="2231"/>
      <c r="B58" s="2231"/>
      <c r="C58" s="1662"/>
      <c r="D58" s="1663"/>
      <c r="I58" s="1665"/>
      <c r="J58" s="1666"/>
      <c r="L58" s="1668"/>
      <c r="M58" s="1668"/>
      <c r="N58" s="1668"/>
      <c r="O58" s="1668"/>
      <c r="P58" s="1668"/>
      <c r="Q58" s="1668"/>
      <c r="R58" s="1668"/>
      <c r="S58" s="1665"/>
      <c r="T58" s="1665"/>
      <c r="U58" s="1665"/>
      <c r="V58" s="1665"/>
      <c r="W58" s="1665"/>
      <c r="X58" s="1665"/>
      <c r="Z58" s="1665"/>
      <c r="AA58" s="1665"/>
      <c r="AB58" s="1665"/>
      <c r="AC58" s="1665"/>
      <c r="AD58" s="1665"/>
      <c r="AE58" s="1665"/>
      <c r="AF58" s="1665"/>
      <c r="AG58" s="1671"/>
      <c r="AH58" s="1671"/>
      <c r="AI58" s="1671"/>
      <c r="AJ58" s="1671"/>
      <c r="AK58" s="1671"/>
      <c r="AL58" s="1672"/>
      <c r="AM58" s="1666"/>
      <c r="AN58" s="1666"/>
      <c r="AO58" s="1666"/>
      <c r="AP58" s="1666"/>
      <c r="AQ58" s="1665"/>
      <c r="AR58" s="1665"/>
      <c r="AS58" s="1665"/>
      <c r="AT58" s="1665"/>
      <c r="AU58" s="1665"/>
      <c r="AV58" s="1665"/>
      <c r="AW58" s="1671"/>
      <c r="AX58" s="1671"/>
      <c r="AY58" s="1671"/>
      <c r="AZ58" s="1671"/>
      <c r="BA58" s="1671"/>
    </row>
    <row r="59" spans="1:53" s="1664" customFormat="1">
      <c r="A59" s="2231"/>
      <c r="B59" s="2231"/>
      <c r="C59" s="1662"/>
      <c r="D59" s="1663"/>
      <c r="I59" s="1665"/>
      <c r="J59" s="1666"/>
      <c r="L59" s="1668"/>
      <c r="M59" s="1668"/>
      <c r="N59" s="1668"/>
      <c r="O59" s="1668"/>
      <c r="P59" s="1668"/>
      <c r="Q59" s="1668"/>
      <c r="R59" s="1668"/>
      <c r="S59" s="1665"/>
      <c r="T59" s="1665"/>
      <c r="U59" s="1665"/>
      <c r="V59" s="1665"/>
      <c r="W59" s="1665"/>
      <c r="X59" s="1665"/>
      <c r="Z59" s="1665"/>
      <c r="AA59" s="1665"/>
      <c r="AB59" s="1665"/>
      <c r="AC59" s="1665"/>
      <c r="AD59" s="1665"/>
      <c r="AE59" s="1665"/>
      <c r="AF59" s="1665"/>
      <c r="AG59" s="1671"/>
      <c r="AH59" s="1671"/>
      <c r="AI59" s="1671"/>
      <c r="AJ59" s="1671"/>
      <c r="AK59" s="1671"/>
      <c r="AL59" s="1672"/>
      <c r="AM59" s="1666"/>
      <c r="AN59" s="1666"/>
      <c r="AO59" s="1666"/>
      <c r="AP59" s="1666"/>
      <c r="AQ59" s="1665"/>
      <c r="AR59" s="1665"/>
      <c r="AS59" s="1665"/>
      <c r="AT59" s="1665"/>
      <c r="AU59" s="1665"/>
      <c r="AV59" s="1665"/>
      <c r="AW59" s="1671"/>
      <c r="AX59" s="1671"/>
      <c r="AY59" s="1671"/>
      <c r="AZ59" s="1671"/>
      <c r="BA59" s="1671"/>
    </row>
    <row r="60" spans="1:53" s="1664" customFormat="1">
      <c r="A60" s="2231"/>
      <c r="B60" s="2231"/>
      <c r="C60" s="1662"/>
      <c r="D60" s="1663"/>
      <c r="I60" s="1665"/>
      <c r="J60" s="1666"/>
      <c r="L60" s="1668"/>
      <c r="M60" s="1668"/>
      <c r="N60" s="1668"/>
      <c r="O60" s="1668"/>
      <c r="P60" s="1668"/>
      <c r="Q60" s="1668"/>
      <c r="R60" s="1668"/>
      <c r="S60" s="1665"/>
      <c r="T60" s="1665"/>
      <c r="U60" s="1665"/>
      <c r="V60" s="1665"/>
      <c r="W60" s="1665"/>
      <c r="X60" s="1665"/>
      <c r="Z60" s="1665"/>
      <c r="AA60" s="1665"/>
      <c r="AB60" s="1665"/>
      <c r="AC60" s="1665"/>
      <c r="AD60" s="1665"/>
      <c r="AE60" s="1665"/>
      <c r="AF60" s="1665"/>
      <c r="AG60" s="1671"/>
      <c r="AH60" s="1671"/>
      <c r="AI60" s="1671"/>
      <c r="AJ60" s="1671"/>
      <c r="AK60" s="1671"/>
      <c r="AL60" s="1672"/>
      <c r="AM60" s="1666"/>
      <c r="AN60" s="1666"/>
      <c r="AO60" s="1666"/>
      <c r="AP60" s="1666"/>
      <c r="AQ60" s="1665"/>
      <c r="AR60" s="1665"/>
      <c r="AS60" s="1665"/>
      <c r="AT60" s="1665"/>
      <c r="AU60" s="1665"/>
      <c r="AV60" s="1665"/>
      <c r="AW60" s="1671"/>
      <c r="AX60" s="1671"/>
      <c r="AY60" s="1671"/>
      <c r="AZ60" s="1671"/>
      <c r="BA60" s="1671"/>
    </row>
    <row r="61" spans="1:53" s="1664" customFormat="1">
      <c r="A61" s="2231"/>
      <c r="B61" s="2231"/>
      <c r="C61" s="1662"/>
      <c r="D61" s="1663"/>
      <c r="I61" s="1665"/>
      <c r="J61" s="1666"/>
      <c r="L61" s="1668"/>
      <c r="M61" s="1668"/>
      <c r="N61" s="1668"/>
      <c r="O61" s="1668"/>
      <c r="P61" s="1668"/>
      <c r="Q61" s="1668"/>
      <c r="R61" s="1668"/>
      <c r="S61" s="1665"/>
      <c r="T61" s="1665"/>
      <c r="U61" s="1665"/>
      <c r="V61" s="1665"/>
      <c r="W61" s="1665"/>
      <c r="X61" s="1665"/>
      <c r="Z61" s="1665"/>
      <c r="AA61" s="1665"/>
      <c r="AB61" s="1665"/>
      <c r="AC61" s="1665"/>
      <c r="AD61" s="1665"/>
      <c r="AE61" s="1665"/>
      <c r="AF61" s="1665"/>
      <c r="AG61" s="1671"/>
      <c r="AH61" s="1671"/>
      <c r="AI61" s="1671"/>
      <c r="AJ61" s="1671"/>
      <c r="AK61" s="1671"/>
      <c r="AL61" s="1672"/>
      <c r="AM61" s="1666"/>
      <c r="AN61" s="1666"/>
      <c r="AO61" s="1666"/>
      <c r="AP61" s="1666"/>
      <c r="AQ61" s="1665"/>
      <c r="AR61" s="1665"/>
      <c r="AS61" s="1665"/>
      <c r="AT61" s="1665"/>
      <c r="AU61" s="1665"/>
      <c r="AV61" s="1665"/>
      <c r="AW61" s="1671"/>
      <c r="AX61" s="1671"/>
      <c r="AY61" s="1671"/>
      <c r="AZ61" s="1671"/>
      <c r="BA61" s="1671"/>
    </row>
    <row r="62" spans="1:53" s="1664" customFormat="1">
      <c r="A62" s="2231"/>
      <c r="B62" s="2231"/>
      <c r="C62" s="1662"/>
      <c r="D62" s="1663"/>
      <c r="I62" s="1665"/>
      <c r="J62" s="1666"/>
      <c r="L62" s="1668"/>
      <c r="M62" s="1668"/>
      <c r="N62" s="1668"/>
      <c r="O62" s="1668"/>
      <c r="P62" s="1668"/>
      <c r="Q62" s="1668"/>
      <c r="R62" s="1668"/>
      <c r="S62" s="1665"/>
      <c r="T62" s="1665"/>
      <c r="U62" s="1665"/>
      <c r="V62" s="1665"/>
      <c r="W62" s="1665"/>
      <c r="X62" s="1665"/>
      <c r="Z62" s="1665"/>
      <c r="AA62" s="1665"/>
      <c r="AB62" s="1665"/>
      <c r="AC62" s="1665"/>
      <c r="AD62" s="1665"/>
      <c r="AE62" s="1665"/>
      <c r="AF62" s="1665"/>
      <c r="AG62" s="1671"/>
      <c r="AH62" s="1671"/>
      <c r="AI62" s="1671"/>
      <c r="AJ62" s="1671"/>
      <c r="AK62" s="1671"/>
      <c r="AL62" s="1672"/>
      <c r="AM62" s="1666"/>
      <c r="AN62" s="1666"/>
      <c r="AO62" s="1666"/>
      <c r="AP62" s="1666"/>
      <c r="AQ62" s="1665"/>
      <c r="AR62" s="1665"/>
      <c r="AS62" s="1665"/>
      <c r="AT62" s="1665"/>
      <c r="AU62" s="1665"/>
      <c r="AV62" s="1665"/>
      <c r="AW62" s="1671"/>
      <c r="AX62" s="1671"/>
      <c r="AY62" s="1671"/>
      <c r="AZ62" s="1671"/>
      <c r="BA62" s="1671"/>
    </row>
    <row r="63" spans="1:53" s="1664" customFormat="1">
      <c r="A63" s="2231"/>
      <c r="B63" s="2231"/>
      <c r="C63" s="1662"/>
      <c r="D63" s="1663"/>
      <c r="I63" s="1665"/>
      <c r="J63" s="1666"/>
      <c r="L63" s="1668"/>
      <c r="M63" s="1668"/>
      <c r="N63" s="1668"/>
      <c r="O63" s="1668"/>
      <c r="P63" s="1668"/>
      <c r="Q63" s="1668"/>
      <c r="R63" s="1668"/>
      <c r="S63" s="1665"/>
      <c r="T63" s="1665"/>
      <c r="U63" s="1665"/>
      <c r="V63" s="1665"/>
      <c r="W63" s="1665"/>
      <c r="X63" s="1665"/>
      <c r="Z63" s="1665"/>
      <c r="AA63" s="1665"/>
      <c r="AB63" s="1665"/>
      <c r="AC63" s="1665"/>
      <c r="AD63" s="1665"/>
      <c r="AE63" s="1665"/>
      <c r="AF63" s="1665"/>
      <c r="AG63" s="1671"/>
      <c r="AH63" s="1671"/>
      <c r="AI63" s="1671"/>
      <c r="AJ63" s="1671"/>
      <c r="AK63" s="1671"/>
      <c r="AL63" s="1672"/>
      <c r="AM63" s="1666"/>
      <c r="AN63" s="1666"/>
      <c r="AO63" s="1666"/>
      <c r="AP63" s="1666"/>
      <c r="AQ63" s="1665"/>
      <c r="AR63" s="1665"/>
      <c r="AS63" s="1665"/>
      <c r="AT63" s="1665"/>
      <c r="AU63" s="1665"/>
      <c r="AV63" s="1665"/>
      <c r="AW63" s="1671"/>
      <c r="AX63" s="1671"/>
      <c r="AY63" s="1671"/>
      <c r="AZ63" s="1671"/>
      <c r="BA63" s="1671"/>
    </row>
  </sheetData>
  <sheetProtection sheet="1" objects="1" scenarios="1"/>
  <mergeCells count="25">
    <mergeCell ref="B13:B27"/>
    <mergeCell ref="Z40:AC40"/>
    <mergeCell ref="AG40:AJ40"/>
    <mergeCell ref="AQ40:AU40"/>
    <mergeCell ref="A43:A63"/>
    <mergeCell ref="B43:B48"/>
    <mergeCell ref="B49:B63"/>
    <mergeCell ref="AQ4:AU4"/>
    <mergeCell ref="AX4:BA4"/>
    <mergeCell ref="E5:H5"/>
    <mergeCell ref="L5:P5"/>
    <mergeCell ref="A7:A12"/>
    <mergeCell ref="B7:B12"/>
    <mergeCell ref="E4:I4"/>
    <mergeCell ref="K4:P4"/>
    <mergeCell ref="S4:W4"/>
    <mergeCell ref="Z4:AD4"/>
    <mergeCell ref="AG4:AJ4"/>
    <mergeCell ref="AL4:AN4"/>
    <mergeCell ref="AL3:BA3"/>
    <mergeCell ref="D3:I3"/>
    <mergeCell ref="K3:P3"/>
    <mergeCell ref="S3:W3"/>
    <mergeCell ref="Z3:AD3"/>
    <mergeCell ref="AG3:AJ3"/>
  </mergeCells>
  <phoneticPr fontId="2" type="noConversion"/>
  <pageMargins left="0.75" right="0.75" top="1" bottom="1" header="0.5" footer="0.5"/>
  <pageSetup paperSize="9" scale="13"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C4"/>
    <pageSetUpPr fitToPage="1"/>
  </sheetPr>
  <dimension ref="A1:I35"/>
  <sheetViews>
    <sheetView showGridLines="0" workbookViewId="0">
      <selection activeCell="I40" sqref="I40"/>
    </sheetView>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26" customFormat="1" ht="19.5">
      <c r="A1" s="4" t="str">
        <f>"Calc-Drivers for Method M ("&amp;'Calc-Net capex'!B5&amp;") for "&amp;Inputs!B6&amp;" in "&amp;Inputs!C6&amp;"  Status: "&amp;Inputs!D6&amp;""</f>
        <v>Calc-Drivers for Method M (LR1) for Electricity North West in 2016/17  Status: 2007/08</v>
      </c>
    </row>
    <row r="3" spans="1:9" hidden="1"/>
    <row r="4" spans="1:9" ht="14.25" hidden="1" customHeight="1"/>
    <row r="5" spans="1:9" ht="14.25" hidden="1" customHeight="1"/>
    <row r="6" spans="1:9" ht="14.25" hidden="1" customHeight="1"/>
    <row r="7" spans="1:9" ht="14.25" hidden="1" customHeight="1"/>
    <row r="8" spans="1:9" ht="14.25" hidden="1" customHeight="1"/>
    <row r="9" spans="1:9" ht="14.25" hidden="1" customHeight="1"/>
    <row r="10" spans="1:9" ht="14.25" hidden="1" customHeight="1"/>
    <row r="11" spans="1:9" ht="14.25" hidden="1" customHeight="1"/>
    <row r="12" spans="1:9" ht="14.25" hidden="1" customHeight="1"/>
    <row r="14" spans="1:9" s="1459" customFormat="1">
      <c r="A14" s="1459" t="s">
        <v>907</v>
      </c>
    </row>
    <row r="16" spans="1:9">
      <c r="B16" s="1687" t="s">
        <v>908</v>
      </c>
      <c r="C16" s="1687" t="s">
        <v>891</v>
      </c>
      <c r="D16" s="1687" t="s">
        <v>466</v>
      </c>
      <c r="E16" s="1687" t="s">
        <v>550</v>
      </c>
      <c r="F16" s="1687" t="s">
        <v>245</v>
      </c>
      <c r="G16" s="1687" t="s">
        <v>427</v>
      </c>
      <c r="H16" s="1687" t="s">
        <v>220</v>
      </c>
      <c r="I16" s="1688" t="s">
        <v>909</v>
      </c>
    </row>
    <row r="17" spans="2:9" ht="15" customHeight="1">
      <c r="B17" s="1689" t="s">
        <v>910</v>
      </c>
      <c r="C17" s="1690">
        <f>'Calc-Net capex'!H6*SUM('FBPQ NL1'!D10:M13)/SUM('FBPQ NL1'!D10:M16)</f>
        <v>5.9218898519723409E-2</v>
      </c>
      <c r="D17" s="1690">
        <f>'Calc-Net capex'!H6*SUM('FBPQ NL1'!D14:M16)/SUM('FBPQ NL1'!D10:M16)</f>
        <v>0.18330616138983297</v>
      </c>
      <c r="E17" s="1690">
        <f>'Calc-Net capex'!H7</f>
        <v>8.4059440608810432E-2</v>
      </c>
      <c r="F17" s="1690">
        <f>'Calc-Net capex'!H8</f>
        <v>0.24783772180962821</v>
      </c>
      <c r="G17" s="1691">
        <f>'Calc-Net capex'!H9+'Calc-Net capex'!H10</f>
        <v>0.425577777672005</v>
      </c>
      <c r="H17" s="1691"/>
      <c r="I17" s="1692" t="s">
        <v>911</v>
      </c>
    </row>
    <row r="18" spans="2:9" ht="15" customHeight="1">
      <c r="B18" s="1689" t="s">
        <v>912</v>
      </c>
      <c r="C18" s="1693">
        <v>1</v>
      </c>
      <c r="D18" s="1693">
        <v>0</v>
      </c>
      <c r="E18" s="1693">
        <v>0</v>
      </c>
      <c r="F18" s="1693">
        <v>0</v>
      </c>
      <c r="G18" s="1694">
        <v>0</v>
      </c>
      <c r="H18" s="1694">
        <f t="shared" ref="H18:H27" si="0">SUM(C18:G18)</f>
        <v>1</v>
      </c>
      <c r="I18" s="1695" t="s">
        <v>913</v>
      </c>
    </row>
    <row r="19" spans="2:9" ht="15" customHeight="1">
      <c r="B19" s="1689" t="s">
        <v>914</v>
      </c>
      <c r="C19" s="1693"/>
      <c r="D19" s="1693">
        <f>'RRP 5.1'!$G$64/'RRP 5.1'!$G$65</f>
        <v>0.54004241180963031</v>
      </c>
      <c r="E19" s="1693">
        <v>0</v>
      </c>
      <c r="F19" s="1693">
        <f>'RRP 5.1'!$G$63/'RRP 5.1'!$G$65</f>
        <v>0.36332506393574565</v>
      </c>
      <c r="G19" s="1694">
        <f>('RRP 5.1'!$G$61+'RRP 5.1'!$G$62)/'RRP 5.1'!$G$65</f>
        <v>9.6632524254624097E-2</v>
      </c>
      <c r="H19" s="1694">
        <f t="shared" si="0"/>
        <v>1</v>
      </c>
      <c r="I19" s="1695" t="s">
        <v>915</v>
      </c>
    </row>
    <row r="20" spans="2:9" ht="15" customHeight="1">
      <c r="B20" s="1689" t="s">
        <v>916</v>
      </c>
      <c r="C20" s="1693"/>
      <c r="D20" s="1693">
        <f>0/'RRP 5.1'!$G$73</f>
        <v>0</v>
      </c>
      <c r="E20" s="1693">
        <v>0</v>
      </c>
      <c r="F20" s="1693">
        <f>('RRP 5.1'!$G$71+'RRP 5.1'!$G$72)/'RRP 5.1'!$G$73</f>
        <v>0.988202957773886</v>
      </c>
      <c r="G20" s="1694">
        <f>('RRP 5.1'!$G$68+'RRP 5.1'!$G$69+'RRP 5.1'!$G$70)/'RRP 5.1'!$G$73</f>
        <v>1.1797042226114029E-2</v>
      </c>
      <c r="H20" s="1694">
        <f t="shared" si="0"/>
        <v>1</v>
      </c>
      <c r="I20" s="1695" t="s">
        <v>915</v>
      </c>
    </row>
    <row r="21" spans="2:9" ht="15" customHeight="1">
      <c r="B21" s="1689" t="s">
        <v>563</v>
      </c>
      <c r="C21" s="1693"/>
      <c r="D21" s="1693">
        <v>0</v>
      </c>
      <c r="E21" s="1693">
        <v>0</v>
      </c>
      <c r="F21" s="1693">
        <v>0</v>
      </c>
      <c r="G21" s="1694">
        <v>1</v>
      </c>
      <c r="H21" s="1694">
        <f t="shared" si="0"/>
        <v>1</v>
      </c>
      <c r="I21" s="1695" t="s">
        <v>913</v>
      </c>
    </row>
    <row r="22" spans="2:9" ht="15" customHeight="1">
      <c r="B22" s="1689" t="s">
        <v>893</v>
      </c>
      <c r="C22" s="1696">
        <f>'Calc-MEAV'!H6*(('Data-MEAV'!I21+'Data-MEAV'!I30)/'Calc-MEAV'!G6)</f>
        <v>0.21441164286425066</v>
      </c>
      <c r="D22" s="1696">
        <f>'Calc-MEAV'!H6*(('Calc-MEAV'!G6-'Data-MEAV'!I21-'Data-MEAV'!I30)/'Calc-MEAV'!G6)</f>
        <v>0.24123166274252686</v>
      </c>
      <c r="E22" s="1696">
        <f>'Calc-MEAV'!H7</f>
        <v>5.7624656431026856E-2</v>
      </c>
      <c r="F22" s="1696">
        <f>'Calc-MEAV'!H8</f>
        <v>0.20497484976598029</v>
      </c>
      <c r="G22" s="1696">
        <f>'Calc-MEAV'!H9+'Calc-MEAV'!H10</f>
        <v>0.28175718819621531</v>
      </c>
      <c r="H22" s="1696">
        <f t="shared" si="0"/>
        <v>1</v>
      </c>
      <c r="I22" s="1697" t="s">
        <v>917</v>
      </c>
    </row>
    <row r="23" spans="2:9" ht="15" customHeight="1">
      <c r="B23" s="1471"/>
      <c r="C23" s="1698"/>
      <c r="D23" s="1698"/>
      <c r="E23" s="1698"/>
      <c r="F23" s="1698"/>
      <c r="G23" s="1698"/>
      <c r="H23" s="1698"/>
      <c r="I23" s="1079"/>
    </row>
    <row r="24" spans="2:9" ht="15" customHeight="1">
      <c r="B24" s="1471"/>
      <c r="C24" s="1698"/>
      <c r="D24" s="1698"/>
      <c r="E24" s="1698"/>
      <c r="F24" s="1698"/>
      <c r="G24" s="1698"/>
      <c r="H24" s="1698"/>
      <c r="I24" s="1079"/>
    </row>
    <row r="25" spans="2:9" ht="15" customHeight="1">
      <c r="B25" s="1689" t="s">
        <v>918</v>
      </c>
      <c r="C25" s="1696"/>
      <c r="D25" s="1696">
        <v>0</v>
      </c>
      <c r="E25" s="1696">
        <v>0</v>
      </c>
      <c r="F25" s="1696">
        <v>0</v>
      </c>
      <c r="G25" s="1696">
        <v>1</v>
      </c>
      <c r="H25" s="1696">
        <f t="shared" si="0"/>
        <v>1</v>
      </c>
      <c r="I25" s="1695" t="s">
        <v>913</v>
      </c>
    </row>
    <row r="26" spans="2:9" ht="15" customHeight="1">
      <c r="B26" s="1689" t="s">
        <v>919</v>
      </c>
      <c r="C26" s="1696"/>
      <c r="D26" s="1696">
        <v>1</v>
      </c>
      <c r="E26" s="1696">
        <v>0</v>
      </c>
      <c r="F26" s="1696">
        <v>0</v>
      </c>
      <c r="G26" s="1696">
        <v>0</v>
      </c>
      <c r="H26" s="1696">
        <f t="shared" si="0"/>
        <v>1</v>
      </c>
      <c r="I26" s="1695" t="s">
        <v>913</v>
      </c>
    </row>
    <row r="27" spans="2:9" ht="15" customHeight="1">
      <c r="B27" s="1699" t="s">
        <v>920</v>
      </c>
      <c r="C27" s="1700"/>
      <c r="D27" s="1700">
        <v>0</v>
      </c>
      <c r="E27" s="1700">
        <v>0</v>
      </c>
      <c r="F27" s="1700">
        <v>1</v>
      </c>
      <c r="G27" s="1700">
        <v>0</v>
      </c>
      <c r="H27" s="1700">
        <f t="shared" si="0"/>
        <v>1</v>
      </c>
      <c r="I27" s="1701" t="s">
        <v>913</v>
      </c>
    </row>
    <row r="29" spans="2:9">
      <c r="B29" s="1089"/>
      <c r="C29" s="1089"/>
      <c r="D29" s="1089"/>
      <c r="E29" s="1089"/>
      <c r="F29" s="1089"/>
    </row>
    <row r="30" spans="2:9">
      <c r="B30" s="1089"/>
      <c r="C30" s="1089"/>
      <c r="D30" s="1089"/>
      <c r="E30" s="1089"/>
      <c r="F30" s="1089"/>
    </row>
    <row r="31" spans="2:9" s="1451" customFormat="1" ht="114.75">
      <c r="B31" s="1702" t="s">
        <v>908</v>
      </c>
      <c r="C31" s="1703" t="s">
        <v>921</v>
      </c>
      <c r="D31" s="1704" t="s">
        <v>922</v>
      </c>
      <c r="E31" s="1704" t="s">
        <v>923</v>
      </c>
      <c r="F31" s="1705" t="s">
        <v>909</v>
      </c>
    </row>
    <row r="32" spans="2:9" s="1451" customFormat="1" ht="25.5">
      <c r="B32" s="1703" t="s">
        <v>924</v>
      </c>
      <c r="C32" s="1706">
        <f>Inputs!B35</f>
        <v>303596707.55184925</v>
      </c>
      <c r="D32" s="1707">
        <f>SUM(Inputs!C30:G30)</f>
        <v>2259091917.6753635</v>
      </c>
      <c r="E32" s="1708">
        <f>D32/(C32+D32)</f>
        <v>0.88153195649161942</v>
      </c>
      <c r="F32" s="1709" t="s">
        <v>925</v>
      </c>
    </row>
    <row r="33" spans="2:6">
      <c r="B33" s="1710"/>
      <c r="C33" s="1711"/>
      <c r="D33" s="1711"/>
      <c r="E33" s="1711"/>
      <c r="F33" s="1712"/>
    </row>
    <row r="34" spans="2:6">
      <c r="B34" s="1089"/>
      <c r="C34" s="1089"/>
      <c r="D34" s="1089"/>
      <c r="E34" s="1089"/>
      <c r="F34" s="1089"/>
    </row>
    <row r="35" spans="2:6">
      <c r="B35" s="1089"/>
      <c r="C35" s="1089"/>
      <c r="D35" s="1089"/>
      <c r="E35" s="1089"/>
      <c r="F35" s="1089"/>
    </row>
  </sheetData>
  <sheetProtection sheet="1" objects="1" scenarios="1"/>
  <phoneticPr fontId="2"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C4"/>
    <pageSetUpPr fitToPage="1"/>
  </sheetPr>
  <dimension ref="A1:AW83"/>
  <sheetViews>
    <sheetView showGridLines="0" zoomScale="70" zoomScaleNormal="70" workbookViewId="0">
      <selection activeCell="AC51" sqref="AC51"/>
    </sheetView>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26" customFormat="1" ht="19.5">
      <c r="A1" s="4" t="str">
        <f>"DNO Final Allocation for Method M ("&amp;'Calc-Net capex'!B5&amp;") for "&amp;Inputs!B6&amp;" in "&amp;Inputs!C6&amp;"  Status: "&amp;Inputs!D6&amp;""</f>
        <v>DNO Final Allocation for Method M (LR1) for Electricity North West in 2016/17  Status: 2007/08</v>
      </c>
    </row>
    <row r="3" spans="1:49" s="1713" customFormat="1">
      <c r="A3" s="1713" t="s">
        <v>926</v>
      </c>
    </row>
    <row r="4" spans="1:49">
      <c r="A4" s="407"/>
    </row>
    <row r="5" spans="1:49">
      <c r="A5" s="1494"/>
      <c r="B5" s="1494"/>
      <c r="C5" s="1494"/>
      <c r="D5" s="1494"/>
      <c r="E5" s="1494"/>
      <c r="F5" s="1494"/>
      <c r="G5" s="1494"/>
      <c r="H5" s="1494"/>
      <c r="I5" s="1494"/>
      <c r="J5" s="1494"/>
      <c r="K5" s="1494"/>
      <c r="L5" s="1494"/>
      <c r="M5" s="1494"/>
      <c r="N5" s="1494"/>
      <c r="O5" s="1714"/>
      <c r="P5" s="1714"/>
      <c r="Q5" s="1714"/>
      <c r="R5" s="1714"/>
      <c r="S5" s="1714"/>
      <c r="T5" s="1494"/>
      <c r="U5" s="1494"/>
      <c r="V5" s="1494"/>
      <c r="W5" s="1494"/>
      <c r="X5" s="1494"/>
      <c r="Y5" s="1494"/>
      <c r="Z5" s="1494"/>
      <c r="AA5" s="1494"/>
      <c r="AB5" s="1494"/>
      <c r="AC5" s="1494"/>
      <c r="AD5" s="1494"/>
      <c r="AE5" s="1494"/>
      <c r="AF5" s="1494"/>
      <c r="AG5" s="1494"/>
      <c r="AH5" s="1494"/>
      <c r="AI5" s="1494"/>
      <c r="AJ5" s="1494"/>
      <c r="AK5" s="1494"/>
      <c r="AL5" s="1494"/>
      <c r="AM5" s="1494"/>
      <c r="AN5" s="1494"/>
      <c r="AO5" s="1494"/>
      <c r="AP5" s="1494"/>
      <c r="AQ5" s="1494"/>
      <c r="AR5" s="1494"/>
      <c r="AS5" s="1494"/>
      <c r="AT5" s="1494"/>
      <c r="AU5" s="1494"/>
      <c r="AV5" s="1494"/>
      <c r="AW5" s="1494"/>
    </row>
    <row r="6" spans="1:49">
      <c r="A6" s="1494"/>
      <c r="B6" s="1715" t="s">
        <v>927</v>
      </c>
      <c r="C6" s="1715"/>
      <c r="D6" s="1715"/>
      <c r="E6" s="1715"/>
      <c r="F6" s="1715"/>
      <c r="G6" s="1715"/>
      <c r="H6" s="1715"/>
      <c r="I6" s="1715"/>
      <c r="J6" s="1715"/>
      <c r="K6" s="1715"/>
      <c r="L6" s="1715" t="s">
        <v>928</v>
      </c>
      <c r="M6" s="1715"/>
      <c r="N6" s="1715"/>
      <c r="O6" s="1715"/>
      <c r="P6" s="1715"/>
      <c r="Q6" s="1715"/>
      <c r="R6" s="1715"/>
      <c r="S6" s="1715"/>
      <c r="T6" s="1715"/>
      <c r="U6" s="1494"/>
      <c r="V6" s="1494"/>
      <c r="W6" s="1494"/>
      <c r="X6" s="1494"/>
      <c r="Y6" s="1494"/>
      <c r="Z6" s="1494"/>
      <c r="AA6" s="1494"/>
      <c r="AB6" s="1494"/>
      <c r="AC6" s="1494"/>
    </row>
    <row r="7" spans="1:49">
      <c r="A7" s="1494"/>
      <c r="B7" s="1715"/>
      <c r="C7" s="1715"/>
      <c r="D7" s="1715"/>
      <c r="E7" s="1715"/>
      <c r="F7" s="1715"/>
      <c r="G7" s="1715"/>
      <c r="H7" s="1715"/>
      <c r="I7" s="1715"/>
      <c r="J7" s="1715"/>
      <c r="K7" s="1715"/>
      <c r="L7" s="1715"/>
      <c r="M7" s="1715"/>
      <c r="N7" s="1715"/>
      <c r="O7" s="1715"/>
      <c r="P7" s="1715"/>
      <c r="Q7" s="1715"/>
      <c r="R7" s="1715"/>
      <c r="S7" s="1715"/>
      <c r="T7" s="1715"/>
      <c r="U7" s="1494"/>
      <c r="V7" s="1494"/>
      <c r="W7" s="1494"/>
      <c r="X7" s="1494"/>
      <c r="Y7" s="1494"/>
      <c r="Z7" s="1494"/>
      <c r="AA7" s="1494"/>
      <c r="AB7" s="1494"/>
      <c r="AC7" s="1494"/>
    </row>
    <row r="8" spans="1:49">
      <c r="A8" s="1494"/>
      <c r="B8" s="1715"/>
      <c r="C8" s="1715"/>
      <c r="D8" s="1716" t="s">
        <v>99</v>
      </c>
      <c r="E8" s="1716" t="s">
        <v>100</v>
      </c>
      <c r="F8" s="1716"/>
      <c r="G8" s="1716" t="s">
        <v>101</v>
      </c>
      <c r="H8" s="1716" t="s">
        <v>102</v>
      </c>
      <c r="I8" s="1716" t="s">
        <v>64</v>
      </c>
      <c r="J8" s="1715"/>
      <c r="K8" s="1715"/>
      <c r="L8" s="1715"/>
      <c r="M8" s="1715"/>
      <c r="N8" s="1715"/>
      <c r="O8" s="1717" t="s">
        <v>99</v>
      </c>
      <c r="P8" s="1717" t="s">
        <v>100</v>
      </c>
      <c r="Q8" s="1717" t="s">
        <v>101</v>
      </c>
      <c r="R8" s="1717" t="s">
        <v>102</v>
      </c>
      <c r="S8" s="1717" t="s">
        <v>64</v>
      </c>
      <c r="T8" s="1715"/>
      <c r="U8" s="1494"/>
      <c r="V8" s="1494"/>
      <c r="W8" s="1494"/>
      <c r="X8" s="1494"/>
      <c r="Y8" s="1494"/>
      <c r="Z8" s="1494"/>
      <c r="AA8" s="1494"/>
      <c r="AB8" s="1494"/>
      <c r="AC8" s="1494"/>
    </row>
    <row r="9" spans="1:49">
      <c r="A9" s="1494"/>
      <c r="B9" s="1715"/>
      <c r="C9" s="1715"/>
      <c r="D9" s="1718"/>
      <c r="E9" s="1718"/>
      <c r="F9" s="1718"/>
      <c r="G9" s="1718"/>
      <c r="H9" s="1718"/>
      <c r="I9" s="1718"/>
      <c r="J9" s="1718"/>
      <c r="K9" s="1715"/>
      <c r="L9" s="1715" t="s">
        <v>66</v>
      </c>
      <c r="M9" s="1715"/>
      <c r="N9" s="1715"/>
      <c r="O9" s="1719">
        <f>'Allowed revenue -DPCR4'!D3</f>
        <v>920</v>
      </c>
      <c r="P9" s="1719">
        <f>'Allowed revenue -DPCR4'!E3</f>
        <v>964.3</v>
      </c>
      <c r="Q9" s="1719">
        <f>'Allowed revenue -DPCR4'!F3</f>
        <v>1002.5</v>
      </c>
      <c r="R9" s="1719">
        <f>'Allowed revenue -DPCR4'!G3</f>
        <v>1034.7</v>
      </c>
      <c r="S9" s="1719">
        <f>'Allowed revenue -DPCR4'!H3</f>
        <v>1060.8</v>
      </c>
      <c r="T9" s="1715"/>
      <c r="U9" s="1494"/>
      <c r="V9" s="1494"/>
      <c r="W9" s="1494"/>
      <c r="X9" s="1494"/>
      <c r="Y9" s="1494"/>
      <c r="Z9" s="1494"/>
      <c r="AA9" s="1494"/>
      <c r="AB9" s="1494"/>
      <c r="AC9" s="1494"/>
    </row>
    <row r="10" spans="1:49">
      <c r="A10" s="1494"/>
      <c r="B10" s="1715" t="s">
        <v>929</v>
      </c>
      <c r="C10" s="1715"/>
      <c r="D10" s="1720">
        <f>O35</f>
        <v>221.20241745024757</v>
      </c>
      <c r="E10" s="1720">
        <f>P35</f>
        <v>223.63564404220025</v>
      </c>
      <c r="F10" s="1720"/>
      <c r="G10" s="1720">
        <f>Q35</f>
        <v>224.07804887710077</v>
      </c>
      <c r="H10" s="1720">
        <f>R35</f>
        <v>226.06887063415303</v>
      </c>
      <c r="I10" s="1720">
        <f>S35</f>
        <v>226.51127546905352</v>
      </c>
      <c r="J10" s="1718"/>
      <c r="K10" s="1715"/>
      <c r="L10" s="1715" t="s">
        <v>68</v>
      </c>
      <c r="M10" s="1715"/>
      <c r="N10" s="1715"/>
      <c r="O10" s="1719">
        <f>'Allowed revenue -DPCR4'!D4</f>
        <v>112.7</v>
      </c>
      <c r="P10" s="1719">
        <f>'Allowed revenue -DPCR4'!E4</f>
        <v>112.3</v>
      </c>
      <c r="Q10" s="1719">
        <f>'Allowed revenue -DPCR4'!F4</f>
        <v>111.8</v>
      </c>
      <c r="R10" s="1719">
        <f>'Allowed revenue -DPCR4'!G4</f>
        <v>111.4</v>
      </c>
      <c r="S10" s="1719">
        <f>'Allowed revenue -DPCR4'!H4</f>
        <v>110.9</v>
      </c>
      <c r="T10" s="1718"/>
      <c r="U10" s="1494"/>
      <c r="V10" s="1494"/>
      <c r="W10" s="1494"/>
      <c r="X10" s="1494"/>
      <c r="Y10" s="1494"/>
      <c r="Z10" s="1494"/>
      <c r="AA10" s="1494"/>
      <c r="AB10" s="1494"/>
      <c r="AC10" s="1494"/>
    </row>
    <row r="11" spans="1:49">
      <c r="A11" s="1494"/>
      <c r="B11" s="1715"/>
      <c r="C11" s="1715"/>
      <c r="D11" s="1721"/>
      <c r="E11" s="1721"/>
      <c r="F11" s="1721"/>
      <c r="G11" s="1721"/>
      <c r="H11" s="1721"/>
      <c r="I11" s="1721"/>
      <c r="J11" s="1715"/>
      <c r="K11" s="1715"/>
      <c r="L11" s="1715" t="s">
        <v>69</v>
      </c>
      <c r="M11" s="1715"/>
      <c r="N11" s="1715"/>
      <c r="O11" s="1719">
        <f>'Allowed revenue -DPCR4'!D5</f>
        <v>-68.5</v>
      </c>
      <c r="P11" s="1719">
        <f>'Allowed revenue -DPCR4'!E5</f>
        <v>-74.099999999999994</v>
      </c>
      <c r="Q11" s="1719">
        <f>'Allowed revenue -DPCR4'!F5</f>
        <v>-79.7</v>
      </c>
      <c r="R11" s="1719">
        <f>'Allowed revenue -DPCR4'!G5</f>
        <v>-85.3</v>
      </c>
      <c r="S11" s="1719">
        <f>'Allowed revenue -DPCR4'!H5</f>
        <v>-90.9</v>
      </c>
      <c r="T11" s="1718"/>
      <c r="U11" s="1494"/>
      <c r="V11" s="1494"/>
      <c r="W11" s="1494"/>
      <c r="X11" s="1494"/>
      <c r="Y11" s="1494"/>
      <c r="Z11" s="1494"/>
      <c r="AA11" s="1494"/>
      <c r="AB11" s="1494"/>
      <c r="AC11" s="1494"/>
    </row>
    <row r="12" spans="1:49">
      <c r="A12" s="1494"/>
      <c r="B12" s="1715" t="s">
        <v>930</v>
      </c>
      <c r="C12" s="1715"/>
      <c r="D12" s="1721">
        <f>O16+(1-0.577)*O18</f>
        <v>73.768000000000001</v>
      </c>
      <c r="E12" s="1721">
        <f>P16+(1-0.577)*P18</f>
        <v>71.468000000000004</v>
      </c>
      <c r="F12" s="1721"/>
      <c r="G12" s="1721">
        <f>Q16+(1-0.577)*Q18</f>
        <v>69.867999999999995</v>
      </c>
      <c r="H12" s="1721">
        <f>R16+(1-0.577)*R18</f>
        <v>68.468000000000004</v>
      </c>
      <c r="I12" s="1721">
        <f>S16+(1-0.577)*S18</f>
        <v>66.968000000000004</v>
      </c>
      <c r="J12" s="1715"/>
      <c r="K12" s="1715"/>
      <c r="L12" s="1715" t="s">
        <v>70</v>
      </c>
      <c r="M12" s="1715"/>
      <c r="N12" s="1715"/>
      <c r="O12" s="1719">
        <f>'Allowed revenue -DPCR4'!D6</f>
        <v>964.3</v>
      </c>
      <c r="P12" s="1719">
        <f>'Allowed revenue -DPCR4'!E6</f>
        <v>1002.5</v>
      </c>
      <c r="Q12" s="1719">
        <f>'Allowed revenue -DPCR4'!F6</f>
        <v>1034.7</v>
      </c>
      <c r="R12" s="1719">
        <f>'Allowed revenue -DPCR4'!G6</f>
        <v>1060.8</v>
      </c>
      <c r="S12" s="1719">
        <f>'Allowed revenue -DPCR4'!H6</f>
        <v>1080.9000000000001</v>
      </c>
      <c r="T12" s="1715"/>
      <c r="U12" s="1494"/>
      <c r="V12" s="1494"/>
      <c r="W12" s="1494"/>
      <c r="X12" s="1494"/>
      <c r="Y12" s="1494"/>
      <c r="Z12" s="1494"/>
      <c r="AA12" s="1494"/>
      <c r="AB12" s="1494"/>
      <c r="AC12" s="1494"/>
    </row>
    <row r="13" spans="1:49">
      <c r="A13" s="1494"/>
      <c r="B13" s="1715" t="s">
        <v>931</v>
      </c>
      <c r="C13" s="1715"/>
      <c r="D13" s="1720" t="str">
        <f>O22</f>
        <v/>
      </c>
      <c r="E13" s="1720" t="str">
        <f>P22</f>
        <v/>
      </c>
      <c r="F13" s="1720" t="str">
        <f>Q22</f>
        <v/>
      </c>
      <c r="G13" s="1720" t="str">
        <f>Q22</f>
        <v/>
      </c>
      <c r="H13" s="1720" t="str">
        <f>R22</f>
        <v/>
      </c>
      <c r="I13" s="1720" t="str">
        <f>S22</f>
        <v/>
      </c>
      <c r="J13" s="1715"/>
      <c r="K13" s="1715"/>
      <c r="L13" s="1715" t="s">
        <v>932</v>
      </c>
      <c r="M13" s="1715"/>
      <c r="N13" s="1715"/>
      <c r="O13" s="1719">
        <f>'Allowed revenue -DPCR4'!D7</f>
        <v>920</v>
      </c>
      <c r="P13" s="1719"/>
      <c r="Q13" s="1719">
        <f>'Allowed revenue -DPCR4'!F7</f>
        <v>0</v>
      </c>
      <c r="R13" s="1719"/>
      <c r="S13" s="1719">
        <f>'Allowed revenue -DPCR4'!H7</f>
        <v>825.2</v>
      </c>
      <c r="T13" s="1722"/>
      <c r="U13" s="1494"/>
      <c r="V13" s="1494"/>
      <c r="W13" s="1494"/>
      <c r="X13" s="1494"/>
      <c r="Y13" s="1494"/>
      <c r="Z13" s="1494"/>
      <c r="AA13" s="1494"/>
      <c r="AB13" s="1494"/>
      <c r="AC13" s="1494"/>
    </row>
    <row r="14" spans="1:49">
      <c r="A14" s="1494"/>
      <c r="B14" s="1715" t="s">
        <v>82</v>
      </c>
      <c r="C14" s="1715"/>
      <c r="D14" s="1720">
        <f>O23</f>
        <v>1.5</v>
      </c>
      <c r="E14" s="1720"/>
      <c r="F14" s="1720"/>
      <c r="G14" s="1720"/>
      <c r="H14" s="1720"/>
      <c r="I14" s="1720"/>
      <c r="J14" s="1718"/>
      <c r="K14" s="1715"/>
      <c r="L14" s="1715" t="s">
        <v>85</v>
      </c>
      <c r="M14" s="1715"/>
      <c r="N14" s="1715"/>
      <c r="O14" s="1719"/>
      <c r="P14" s="1719">
        <f>'Allowed revenue -DPCR4'!E8</f>
        <v>0</v>
      </c>
      <c r="Q14" s="1719"/>
      <c r="R14" s="1719"/>
      <c r="S14" s="1719">
        <f>'Allowed revenue -DPCR4'!H8</f>
        <v>94.8</v>
      </c>
      <c r="T14" s="1722"/>
      <c r="U14" s="1494"/>
      <c r="V14" s="1494"/>
      <c r="W14" s="1494"/>
      <c r="X14" s="1494"/>
      <c r="Y14" s="1494"/>
      <c r="Z14" s="1494"/>
      <c r="AA14" s="1494"/>
      <c r="AB14" s="1494"/>
      <c r="AC14" s="1494"/>
    </row>
    <row r="15" spans="1:49">
      <c r="A15" s="1494"/>
      <c r="B15" s="1715" t="s">
        <v>933</v>
      </c>
      <c r="C15" s="1715"/>
      <c r="D15" s="1721">
        <f>SUM(D12:D14)</f>
        <v>75.268000000000001</v>
      </c>
      <c r="E15" s="1721">
        <f>SUM(E12:E14)</f>
        <v>71.468000000000004</v>
      </c>
      <c r="F15" s="1721"/>
      <c r="G15" s="1721">
        <f>SUM(G12:G14)</f>
        <v>69.867999999999995</v>
      </c>
      <c r="H15" s="1721">
        <f>SUM(H12:H14)</f>
        <v>68.468000000000004</v>
      </c>
      <c r="I15" s="1721">
        <f>SUM(I12:I14)</f>
        <v>66.968000000000004</v>
      </c>
      <c r="J15" s="1715"/>
      <c r="K15" s="1715"/>
      <c r="L15" s="1715"/>
      <c r="M15" s="1715"/>
      <c r="N15" s="1715"/>
      <c r="O15" s="1716"/>
      <c r="P15" s="1716"/>
      <c r="Q15" s="1716"/>
      <c r="R15" s="1716"/>
      <c r="S15" s="1716"/>
      <c r="T15" s="1715"/>
      <c r="U15" s="1494"/>
      <c r="V15" s="1494"/>
      <c r="W15" s="1494"/>
      <c r="X15" s="1494"/>
      <c r="Y15" s="1494"/>
      <c r="Z15" s="1494"/>
      <c r="AA15" s="1494"/>
      <c r="AB15" s="1494"/>
      <c r="AC15" s="1494"/>
    </row>
    <row r="16" spans="1:49">
      <c r="A16" s="1494"/>
      <c r="B16" s="1715"/>
      <c r="C16" s="1715"/>
      <c r="D16" s="1721"/>
      <c r="E16" s="1721"/>
      <c r="F16" s="1721"/>
      <c r="G16" s="1721"/>
      <c r="H16" s="1721"/>
      <c r="I16" s="1721"/>
      <c r="J16" s="1715"/>
      <c r="K16" s="1715"/>
      <c r="L16" s="1715" t="s">
        <v>934</v>
      </c>
      <c r="M16" s="1715"/>
      <c r="N16" s="1715"/>
      <c r="O16" s="1723">
        <f>'Allowed revenue -DPCR4'!D10</f>
        <v>67</v>
      </c>
      <c r="P16" s="1723">
        <f>'Allowed revenue -DPCR4'!E10</f>
        <v>64.7</v>
      </c>
      <c r="Q16" s="1723">
        <f>'Allowed revenue -DPCR4'!F10</f>
        <v>63.1</v>
      </c>
      <c r="R16" s="1723">
        <f>'Allowed revenue -DPCR4'!G10</f>
        <v>61.7</v>
      </c>
      <c r="S16" s="1723">
        <f>'Allowed revenue -DPCR4'!H10</f>
        <v>60.2</v>
      </c>
      <c r="T16" s="1718"/>
      <c r="U16" s="1494"/>
      <c r="V16" s="1494"/>
      <c r="W16" s="1494"/>
      <c r="X16" s="1494"/>
      <c r="Y16" s="1494"/>
      <c r="Z16" s="1494"/>
      <c r="AA16" s="1494"/>
      <c r="AB16" s="1494"/>
      <c r="AC16" s="1494"/>
    </row>
    <row r="17" spans="1:29">
      <c r="A17" s="1494"/>
      <c r="B17" s="1715" t="s">
        <v>935</v>
      </c>
      <c r="C17" s="1715"/>
      <c r="D17" s="1721"/>
      <c r="E17" s="1721"/>
      <c r="F17" s="1721"/>
      <c r="G17" s="1721"/>
      <c r="H17" s="1721"/>
      <c r="I17" s="1721"/>
      <c r="J17" s="1715"/>
      <c r="K17" s="1715"/>
      <c r="L17" s="1715" t="s">
        <v>936</v>
      </c>
      <c r="M17" s="1715"/>
      <c r="N17" s="1715"/>
      <c r="O17" s="1723">
        <f>'Allowed revenue -DPCR4'!D11</f>
        <v>103.5</v>
      </c>
      <c r="P17" s="1723">
        <f>'Allowed revenue -DPCR4'!E11</f>
        <v>103.1</v>
      </c>
      <c r="Q17" s="1723">
        <f>'Allowed revenue -DPCR4'!F11</f>
        <v>102.6</v>
      </c>
      <c r="R17" s="1723">
        <f>'Allowed revenue -DPCR4'!G11</f>
        <v>102.2</v>
      </c>
      <c r="S17" s="1723">
        <f>'Allowed revenue -DPCR4'!H11</f>
        <v>101.7</v>
      </c>
      <c r="T17" s="1718"/>
      <c r="U17" s="1494"/>
      <c r="V17" s="1494"/>
      <c r="W17" s="1494"/>
      <c r="X17" s="1494"/>
      <c r="Y17" s="1494"/>
      <c r="Z17" s="1494"/>
      <c r="AA17" s="1494"/>
      <c r="AB17" s="1494"/>
      <c r="AC17" s="1494"/>
    </row>
    <row r="18" spans="1:29">
      <c r="A18" s="1494"/>
      <c r="B18" s="1715" t="s">
        <v>69</v>
      </c>
      <c r="C18" s="1724"/>
      <c r="D18" s="1721">
        <f>-O11</f>
        <v>68.5</v>
      </c>
      <c r="E18" s="1721">
        <f>-P11</f>
        <v>74.099999999999994</v>
      </c>
      <c r="F18" s="1721"/>
      <c r="G18" s="1721">
        <f>-Q11</f>
        <v>79.7</v>
      </c>
      <c r="H18" s="1721">
        <f>-R11</f>
        <v>85.3</v>
      </c>
      <c r="I18" s="1721">
        <f>-S11</f>
        <v>90.9</v>
      </c>
      <c r="J18" s="1725"/>
      <c r="K18" s="1715"/>
      <c r="L18" s="1715" t="s">
        <v>937</v>
      </c>
      <c r="M18" s="1715"/>
      <c r="N18" s="1715"/>
      <c r="O18" s="1723">
        <f>'Allowed revenue -DPCR4'!D12</f>
        <v>16</v>
      </c>
      <c r="P18" s="1723">
        <f>'Allowed revenue -DPCR4'!E12</f>
        <v>16</v>
      </c>
      <c r="Q18" s="1723">
        <f>'Allowed revenue -DPCR4'!F12</f>
        <v>16</v>
      </c>
      <c r="R18" s="1723">
        <f>'Allowed revenue -DPCR4'!G12</f>
        <v>16</v>
      </c>
      <c r="S18" s="1723">
        <f>'Allowed revenue -DPCR4'!H12</f>
        <v>16</v>
      </c>
      <c r="T18" s="1718"/>
      <c r="U18" s="1494"/>
      <c r="V18" s="1494"/>
      <c r="W18" s="1494"/>
      <c r="X18" s="1494"/>
      <c r="Y18" s="1494"/>
      <c r="Z18" s="1494"/>
      <c r="AA18" s="1494"/>
      <c r="AB18" s="1494"/>
      <c r="AC18" s="1494"/>
    </row>
    <row r="19" spans="1:29">
      <c r="A19" s="1494"/>
      <c r="B19" s="1715" t="s">
        <v>77</v>
      </c>
      <c r="C19" s="1715"/>
      <c r="D19" s="1721">
        <f t="shared" ref="D19:E21" si="0">O19</f>
        <v>19.7</v>
      </c>
      <c r="E19" s="1721">
        <f t="shared" si="0"/>
        <v>22.3</v>
      </c>
      <c r="F19" s="1721"/>
      <c r="G19" s="1721">
        <f t="shared" ref="G19:I21" si="1">Q19</f>
        <v>23.5</v>
      </c>
      <c r="H19" s="1721">
        <f t="shared" si="1"/>
        <v>24.9</v>
      </c>
      <c r="I19" s="1721">
        <f t="shared" si="1"/>
        <v>24.9</v>
      </c>
      <c r="J19" s="1715"/>
      <c r="K19" s="1715"/>
      <c r="L19" s="1715" t="s">
        <v>77</v>
      </c>
      <c r="M19" s="1715"/>
      <c r="N19" s="1715"/>
      <c r="O19" s="1723">
        <f>'Allowed revenue -DPCR4'!D13</f>
        <v>19.7</v>
      </c>
      <c r="P19" s="1723">
        <f>'Allowed revenue -DPCR4'!E13</f>
        <v>22.3</v>
      </c>
      <c r="Q19" s="1723">
        <f>'Allowed revenue -DPCR4'!F13</f>
        <v>23.5</v>
      </c>
      <c r="R19" s="1723">
        <f>'Allowed revenue -DPCR4'!G13</f>
        <v>24.9</v>
      </c>
      <c r="S19" s="1723">
        <f>'Allowed revenue -DPCR4'!H13</f>
        <v>24.9</v>
      </c>
      <c r="T19" s="1718"/>
      <c r="U19" s="1494"/>
      <c r="V19" s="1494"/>
      <c r="W19" s="1494"/>
      <c r="X19" s="1494"/>
      <c r="Y19" s="1494"/>
      <c r="Z19" s="1494"/>
      <c r="AA19" s="1494"/>
      <c r="AB19" s="1494"/>
      <c r="AC19" s="1494"/>
    </row>
    <row r="20" spans="1:29">
      <c r="A20" s="1494"/>
      <c r="B20" s="1715" t="s">
        <v>938</v>
      </c>
      <c r="C20" s="1715"/>
      <c r="D20" s="1720">
        <f t="shared" si="0"/>
        <v>1.8</v>
      </c>
      <c r="E20" s="1720">
        <f t="shared" si="0"/>
        <v>1</v>
      </c>
      <c r="F20" s="1720"/>
      <c r="G20" s="1720">
        <f t="shared" si="1"/>
        <v>-0.6</v>
      </c>
      <c r="H20" s="1720">
        <f t="shared" si="1"/>
        <v>-1.1000000000000001</v>
      </c>
      <c r="I20" s="1720">
        <f t="shared" si="1"/>
        <v>-0.5</v>
      </c>
      <c r="J20" s="1718"/>
      <c r="K20" s="1715"/>
      <c r="L20" s="1715" t="s">
        <v>939</v>
      </c>
      <c r="M20" s="1715"/>
      <c r="N20" s="1715"/>
      <c r="O20" s="1723">
        <f>'Allowed revenue -DPCR4'!D14</f>
        <v>1.8</v>
      </c>
      <c r="P20" s="1723">
        <f>'Allowed revenue -DPCR4'!E14</f>
        <v>1</v>
      </c>
      <c r="Q20" s="1723">
        <f>'Allowed revenue -DPCR4'!F14</f>
        <v>-0.6</v>
      </c>
      <c r="R20" s="1723">
        <f>'Allowed revenue -DPCR4'!G14</f>
        <v>-1.1000000000000001</v>
      </c>
      <c r="S20" s="1723">
        <f>'Allowed revenue -DPCR4'!H14</f>
        <v>-0.5</v>
      </c>
      <c r="T20" s="1718"/>
      <c r="U20" s="1494"/>
      <c r="V20" s="1494"/>
      <c r="W20" s="1494"/>
      <c r="X20" s="1494"/>
      <c r="Y20" s="1494"/>
      <c r="Z20" s="1494"/>
      <c r="AA20" s="1494"/>
      <c r="AB20" s="1494"/>
      <c r="AC20" s="1494"/>
    </row>
    <row r="21" spans="1:29">
      <c r="A21" s="1494"/>
      <c r="B21" s="1715" t="s">
        <v>940</v>
      </c>
      <c r="C21" s="1715"/>
      <c r="D21" s="1720">
        <f t="shared" si="0"/>
        <v>1.6</v>
      </c>
      <c r="E21" s="1720">
        <f t="shared" si="0"/>
        <v>1.7</v>
      </c>
      <c r="F21" s="1720"/>
      <c r="G21" s="1720">
        <f t="shared" si="1"/>
        <v>1.8</v>
      </c>
      <c r="H21" s="1720">
        <f t="shared" si="1"/>
        <v>1.8</v>
      </c>
      <c r="I21" s="1720">
        <f t="shared" si="1"/>
        <v>1.9</v>
      </c>
      <c r="J21" s="1725"/>
      <c r="K21" s="1715"/>
      <c r="L21" s="1715" t="s">
        <v>941</v>
      </c>
      <c r="M21" s="1715"/>
      <c r="N21" s="1715"/>
      <c r="O21" s="1723">
        <f>'Allowed revenue -DPCR4'!D15</f>
        <v>1.6</v>
      </c>
      <c r="P21" s="1723">
        <f>'Allowed revenue -DPCR4'!E15</f>
        <v>1.7</v>
      </c>
      <c r="Q21" s="1723">
        <f>'Allowed revenue -DPCR4'!F15</f>
        <v>1.8</v>
      </c>
      <c r="R21" s="1723">
        <f>'Allowed revenue -DPCR4'!G15</f>
        <v>1.8</v>
      </c>
      <c r="S21" s="1723">
        <f>'Allowed revenue -DPCR4'!H15</f>
        <v>1.9</v>
      </c>
      <c r="T21" s="1718"/>
      <c r="U21" s="1494"/>
      <c r="V21" s="1494"/>
      <c r="W21" s="1494"/>
      <c r="X21" s="1494"/>
      <c r="Y21" s="1494"/>
      <c r="Z21" s="1494"/>
      <c r="AA21" s="1494"/>
      <c r="AB21" s="1494"/>
      <c r="AC21" s="1494"/>
    </row>
    <row r="22" spans="1:29">
      <c r="A22" s="1494"/>
      <c r="B22" s="1715" t="s">
        <v>942</v>
      </c>
      <c r="C22" s="1725"/>
      <c r="D22" s="1721">
        <f>D10-D15-D18-D19-D20-D21</f>
        <v>54.334417450247564</v>
      </c>
      <c r="E22" s="1721">
        <f>E10-E15-E18-E19-E20-E21</f>
        <v>53.067644042200271</v>
      </c>
      <c r="F22" s="1721"/>
      <c r="G22" s="1721">
        <f>G10-G15-G18-G19-G20-G21</f>
        <v>49.810048877100776</v>
      </c>
      <c r="H22" s="1721">
        <f>H10-H15-H18-H19-H20-H21</f>
        <v>46.70087063415302</v>
      </c>
      <c r="I22" s="1721">
        <f>I10-I15-I18-I19-I20-I21</f>
        <v>42.343275469053523</v>
      </c>
      <c r="J22" s="1725"/>
      <c r="K22" s="1715"/>
      <c r="L22" s="1715" t="s">
        <v>943</v>
      </c>
      <c r="M22" s="1715"/>
      <c r="N22" s="1715"/>
      <c r="O22" s="1719" t="str">
        <f>IF(ISNUMBER('Allowed revenue -DPCR4'!D16+'Allowed revenue -DPCR4'!D17),'Allowed revenue -DPCR4'!D16+'Allowed revenue -DPCR4'!D17,"")</f>
        <v/>
      </c>
      <c r="P22" s="1719" t="str">
        <f>IF(ISNUMBER('Allowed revenue -DPCR4'!E16+'Allowed revenue -DPCR4'!E17),'Allowed revenue -DPCR4'!E16+'Allowed revenue -DPCR4'!E17,"")</f>
        <v/>
      </c>
      <c r="Q22" s="1719" t="str">
        <f>IF(ISNUMBER('Allowed revenue -DPCR4'!F16+'Allowed revenue -DPCR4'!F17),'Allowed revenue -DPCR4'!F16+'Allowed revenue -DPCR4'!F17,"")</f>
        <v/>
      </c>
      <c r="R22" s="1719" t="str">
        <f>IF(ISNUMBER('Allowed revenue -DPCR4'!G16+'Allowed revenue -DPCR4'!G17),'Allowed revenue -DPCR4'!G16+'Allowed revenue -DPCR4'!G17,"")</f>
        <v/>
      </c>
      <c r="S22" s="1719" t="str">
        <f>IF(ISNUMBER('Allowed revenue -DPCR4'!H16+'Allowed revenue -DPCR4'!H17),'Allowed revenue -DPCR4'!H16+'Allowed revenue -DPCR4'!H17,"")</f>
        <v/>
      </c>
      <c r="T22" s="1718"/>
      <c r="U22" s="1494"/>
      <c r="V22" s="1494"/>
      <c r="W22" s="1494"/>
      <c r="X22" s="1494"/>
      <c r="Y22" s="1494"/>
      <c r="Z22" s="1494"/>
      <c r="AA22" s="1494"/>
      <c r="AB22" s="1494"/>
      <c r="AC22" s="1494"/>
    </row>
    <row r="23" spans="1:29">
      <c r="A23" s="1494"/>
      <c r="B23" s="1715" t="s">
        <v>944</v>
      </c>
      <c r="C23" s="1715"/>
      <c r="D23" s="1721">
        <f>SUM(D18:D22)</f>
        <v>145.93441745024757</v>
      </c>
      <c r="E23" s="1721">
        <f>SUM(E18:E22)</f>
        <v>152.16764404220027</v>
      </c>
      <c r="F23" s="1721"/>
      <c r="G23" s="1721">
        <f>SUM(G18:G22)</f>
        <v>154.21004887710077</v>
      </c>
      <c r="H23" s="1721">
        <f>SUM(H18:H22)</f>
        <v>157.60087063415301</v>
      </c>
      <c r="I23" s="1721">
        <f>SUM(I18:I22)</f>
        <v>159.54327546905353</v>
      </c>
      <c r="J23" s="1715"/>
      <c r="K23" s="1715"/>
      <c r="L23" s="1715" t="s">
        <v>82</v>
      </c>
      <c r="M23" s="1715"/>
      <c r="N23" s="1715"/>
      <c r="O23" s="1723">
        <f>'Allowed revenue -DPCR4'!D18</f>
        <v>1.5</v>
      </c>
      <c r="P23" s="1723" t="str">
        <f>'Allowed revenue -DPCR4'!E18</f>
        <v>-</v>
      </c>
      <c r="Q23" s="1723" t="str">
        <f>'Allowed revenue -DPCR4'!F18</f>
        <v>-</v>
      </c>
      <c r="R23" s="1723" t="str">
        <f>'Allowed revenue -DPCR4'!G18</f>
        <v>-</v>
      </c>
      <c r="S23" s="1723" t="str">
        <f>'Allowed revenue -DPCR4'!H18</f>
        <v>-</v>
      </c>
      <c r="T23" s="1718"/>
      <c r="U23" s="1494"/>
      <c r="V23" s="1494"/>
      <c r="W23" s="1494"/>
      <c r="X23" s="1494"/>
      <c r="Y23" s="1494"/>
      <c r="Z23" s="1494"/>
      <c r="AA23" s="1494"/>
      <c r="AB23" s="1494"/>
      <c r="AC23" s="1494"/>
    </row>
    <row r="24" spans="1:29">
      <c r="A24" s="1494"/>
      <c r="B24" s="1726" t="s">
        <v>945</v>
      </c>
      <c r="C24" s="1715"/>
      <c r="D24" s="1721">
        <f>D23-D18</f>
        <v>77.434417450247565</v>
      </c>
      <c r="E24" s="1721">
        <f>E23-E18</f>
        <v>78.067644042200271</v>
      </c>
      <c r="F24" s="1721"/>
      <c r="G24" s="1721">
        <f>G23-G18</f>
        <v>74.510048877100772</v>
      </c>
      <c r="H24" s="1721">
        <f>H23-H18</f>
        <v>72.300870634153014</v>
      </c>
      <c r="I24" s="1721">
        <f>I23-I18</f>
        <v>68.643275469053521</v>
      </c>
      <c r="J24" s="1727"/>
      <c r="K24" s="1727"/>
      <c r="L24" s="1727" t="s">
        <v>83</v>
      </c>
      <c r="M24" s="1727"/>
      <c r="N24" s="1727"/>
      <c r="O24" s="1716">
        <f>'Allowed revenue -DPCR4'!D19</f>
        <v>212.6</v>
      </c>
      <c r="P24" s="1716">
        <f>'Allowed revenue -DPCR4'!E19</f>
        <v>210.3</v>
      </c>
      <c r="Q24" s="1716">
        <f>'Allowed revenue -DPCR4'!F19</f>
        <v>207.9</v>
      </c>
      <c r="R24" s="1716">
        <f>'Allowed revenue -DPCR4'!G19</f>
        <v>205.5</v>
      </c>
      <c r="S24" s="1716">
        <f>'Allowed revenue -DPCR4'!H19</f>
        <v>204.2</v>
      </c>
      <c r="T24" s="1715"/>
      <c r="U24" s="1494"/>
      <c r="V24" s="1494"/>
      <c r="W24" s="1494"/>
      <c r="X24" s="1494"/>
      <c r="Y24" s="1494"/>
      <c r="Z24" s="1494"/>
      <c r="AA24" s="1494"/>
      <c r="AB24" s="1494"/>
      <c r="AC24" s="1494"/>
    </row>
    <row r="25" spans="1:29">
      <c r="A25" s="1494"/>
      <c r="B25" s="1715"/>
      <c r="C25" s="1715"/>
      <c r="D25" s="1721"/>
      <c r="E25" s="1721"/>
      <c r="F25" s="1721"/>
      <c r="G25" s="1721"/>
      <c r="H25" s="1721"/>
      <c r="I25" s="1721"/>
      <c r="J25" s="1727"/>
      <c r="K25" s="1727"/>
      <c r="L25" s="1727" t="s">
        <v>946</v>
      </c>
      <c r="M25" s="1727"/>
      <c r="N25" s="1727"/>
      <c r="O25" s="1716">
        <f>'Allowed revenue -DPCR4'!D20</f>
        <v>207</v>
      </c>
      <c r="P25" s="1716">
        <f>'Allowed revenue -DPCR4'!E20</f>
        <v>193.9</v>
      </c>
      <c r="Q25" s="1716">
        <f>'Allowed revenue -DPCR4'!F20</f>
        <v>181.6</v>
      </c>
      <c r="R25" s="1716">
        <f>'Allowed revenue -DPCR4'!G20</f>
        <v>170.1</v>
      </c>
      <c r="S25" s="1716">
        <f>'Allowed revenue -DPCR4'!H20</f>
        <v>160.19999999999999</v>
      </c>
      <c r="T25" s="1722"/>
      <c r="U25" s="1494"/>
      <c r="V25" s="1494"/>
      <c r="W25" s="1494"/>
      <c r="X25" s="1494"/>
      <c r="Y25" s="1494"/>
      <c r="Z25" s="1494"/>
      <c r="AA25" s="1494"/>
      <c r="AB25" s="1494"/>
      <c r="AC25" s="1494"/>
    </row>
    <row r="26" spans="1:29">
      <c r="A26" s="1494"/>
      <c r="B26" s="1715" t="s">
        <v>947</v>
      </c>
      <c r="C26" s="1715"/>
      <c r="D26" s="1721"/>
      <c r="E26" s="1721"/>
      <c r="F26" s="1721"/>
      <c r="G26" s="1721"/>
      <c r="H26" s="1721"/>
      <c r="I26" s="1721"/>
      <c r="J26" s="1727"/>
      <c r="K26" s="1715"/>
      <c r="L26" s="1715" t="s">
        <v>85</v>
      </c>
      <c r="M26" s="1715"/>
      <c r="N26" s="1715"/>
      <c r="O26" s="1716"/>
      <c r="P26" s="1716"/>
      <c r="Q26" s="1716"/>
      <c r="R26" s="1716"/>
      <c r="S26" s="1716">
        <f>'Allowed revenue -DPCR4'!H21</f>
        <v>94.8</v>
      </c>
      <c r="T26" s="1722"/>
      <c r="U26" s="1494"/>
      <c r="V26" s="1494"/>
      <c r="W26" s="1494"/>
      <c r="X26" s="1494"/>
      <c r="Y26" s="1494"/>
      <c r="Z26" s="1494"/>
      <c r="AA26" s="1494"/>
      <c r="AB26" s="1494"/>
      <c r="AC26" s="1494"/>
    </row>
    <row r="27" spans="1:29">
      <c r="A27" s="1494"/>
      <c r="B27" s="1715"/>
      <c r="C27" s="1715"/>
      <c r="D27" s="1721"/>
      <c r="E27" s="1721"/>
      <c r="F27" s="1721"/>
      <c r="G27" s="1721"/>
      <c r="H27" s="1721"/>
      <c r="I27" s="1721"/>
      <c r="J27" s="1715"/>
      <c r="K27" s="1715"/>
      <c r="L27" s="1715" t="s">
        <v>948</v>
      </c>
      <c r="M27" s="1715"/>
      <c r="N27" s="1715"/>
      <c r="O27" s="1716"/>
      <c r="P27" s="1716"/>
      <c r="Q27" s="1716"/>
      <c r="R27" s="1716"/>
      <c r="S27" s="1716">
        <f>'Allowed revenue -DPCR4'!H22</f>
        <v>1007.6</v>
      </c>
      <c r="T27" s="1722"/>
      <c r="U27" s="1494"/>
      <c r="V27" s="1494"/>
      <c r="W27" s="1494"/>
      <c r="X27" s="1494"/>
      <c r="Y27" s="1494"/>
      <c r="Z27" s="1494"/>
      <c r="AA27" s="1494"/>
      <c r="AB27" s="1494"/>
      <c r="AC27" s="1494"/>
    </row>
    <row r="28" spans="1:29">
      <c r="A28" s="1494"/>
      <c r="B28" s="1715" t="s">
        <v>890</v>
      </c>
      <c r="C28" s="1715"/>
      <c r="D28" s="1720">
        <f>D15</f>
        <v>75.268000000000001</v>
      </c>
      <c r="E28" s="1720">
        <f>E15</f>
        <v>71.468000000000004</v>
      </c>
      <c r="F28" s="1720"/>
      <c r="G28" s="1720">
        <f>G15</f>
        <v>69.867999999999995</v>
      </c>
      <c r="H28" s="1720">
        <f>H15</f>
        <v>68.468000000000004</v>
      </c>
      <c r="I28" s="1720">
        <f>I15</f>
        <v>66.968000000000004</v>
      </c>
      <c r="J28" s="1728"/>
      <c r="K28" s="1715"/>
      <c r="L28" s="1715"/>
      <c r="M28" s="1715"/>
      <c r="N28" s="1715"/>
      <c r="O28" s="1715"/>
      <c r="P28" s="1715"/>
      <c r="Q28" s="1715"/>
      <c r="R28" s="1715"/>
      <c r="S28" s="1715"/>
      <c r="T28" s="1715"/>
      <c r="U28" s="1494"/>
      <c r="V28" s="1494"/>
      <c r="W28" s="1494"/>
      <c r="X28" s="1494"/>
      <c r="Y28" s="1494"/>
      <c r="Z28" s="1494"/>
      <c r="AA28" s="1494"/>
      <c r="AB28" s="1494"/>
      <c r="AC28" s="1494"/>
    </row>
    <row r="29" spans="1:29">
      <c r="A29" s="1494"/>
      <c r="B29" s="1715" t="s">
        <v>69</v>
      </c>
      <c r="C29" s="1715"/>
      <c r="D29" s="1720">
        <f>D18</f>
        <v>68.5</v>
      </c>
      <c r="E29" s="1720">
        <f>E18</f>
        <v>74.099999999999994</v>
      </c>
      <c r="F29" s="1720"/>
      <c r="G29" s="1720">
        <f>G18</f>
        <v>79.7</v>
      </c>
      <c r="H29" s="1720">
        <f>H18</f>
        <v>85.3</v>
      </c>
      <c r="I29" s="1720">
        <f>I18</f>
        <v>90.9</v>
      </c>
      <c r="J29" s="1718"/>
      <c r="K29" s="1715"/>
      <c r="L29" s="1715"/>
      <c r="M29" s="1724"/>
      <c r="N29" s="1715"/>
      <c r="O29" s="1729">
        <f>1/(1+Inputs!B25)</f>
        <v>0.94746316736936853</v>
      </c>
      <c r="P29" s="1729">
        <f>O29/(1+Inputs!B25)</f>
        <v>0.89768645352159604</v>
      </c>
      <c r="Q29" s="1729">
        <f>P29/(1+Inputs!B25)</f>
        <v>0.85052485055814675</v>
      </c>
      <c r="R29" s="1729">
        <f>Q29/(1+Inputs!B25)</f>
        <v>0.8058409688361805</v>
      </c>
      <c r="S29" s="1729">
        <f>R29/(1+Inputs!B25)</f>
        <v>0.76350463672952817</v>
      </c>
      <c r="T29" s="1727"/>
      <c r="U29" s="1494"/>
      <c r="V29" s="1494"/>
      <c r="W29" s="1494"/>
      <c r="X29" s="1494"/>
      <c r="Y29" s="1494"/>
      <c r="Z29" s="1494"/>
      <c r="AA29" s="1494"/>
      <c r="AB29" s="1494"/>
      <c r="AC29" s="1494"/>
    </row>
    <row r="30" spans="1:29">
      <c r="A30" s="1494"/>
      <c r="B30" s="1715" t="s">
        <v>942</v>
      </c>
      <c r="C30" s="1725"/>
      <c r="D30" s="1721">
        <f>D22</f>
        <v>54.334417450247564</v>
      </c>
      <c r="E30" s="1721">
        <f>E22</f>
        <v>53.067644042200271</v>
      </c>
      <c r="F30" s="1721"/>
      <c r="G30" s="1721">
        <f>G22</f>
        <v>49.810048877100776</v>
      </c>
      <c r="H30" s="1721">
        <f>H22</f>
        <v>46.70087063415302</v>
      </c>
      <c r="I30" s="1721">
        <f>I22</f>
        <v>42.343275469053523</v>
      </c>
      <c r="J30" s="1725"/>
      <c r="K30" s="1715"/>
      <c r="L30" s="1715"/>
      <c r="M30" s="1715"/>
      <c r="N30" s="1715"/>
      <c r="O30" s="1729">
        <v>1</v>
      </c>
      <c r="P30" s="1729">
        <f>O29</f>
        <v>0.94746316736936853</v>
      </c>
      <c r="Q30" s="1729">
        <f>P29</f>
        <v>0.89768645352159604</v>
      </c>
      <c r="R30" s="1729">
        <f>Q29</f>
        <v>0.85052485055814675</v>
      </c>
      <c r="S30" s="1729">
        <f>R29</f>
        <v>0.8058409688361805</v>
      </c>
      <c r="T30" s="1727"/>
      <c r="U30" s="1494"/>
      <c r="V30" s="1494"/>
      <c r="W30" s="1494"/>
      <c r="X30" s="1494"/>
      <c r="Y30" s="1494"/>
      <c r="Z30" s="1494"/>
      <c r="AA30" s="1494"/>
      <c r="AB30" s="1494"/>
      <c r="AC30" s="1494"/>
    </row>
    <row r="31" spans="1:29">
      <c r="A31" s="1494"/>
      <c r="B31" s="1715"/>
      <c r="C31" s="1725"/>
      <c r="D31" s="1725"/>
      <c r="E31" s="1725"/>
      <c r="F31" s="1725"/>
      <c r="G31" s="1725"/>
      <c r="H31" s="1725"/>
      <c r="I31" s="1725"/>
      <c r="J31" s="1725"/>
      <c r="K31" s="1715"/>
      <c r="L31" s="1715"/>
      <c r="M31" s="1715"/>
      <c r="N31" s="1715"/>
      <c r="O31" s="1729">
        <f>1/(1+Inputs!B25)^0.5</f>
        <v>0.97337719686120061</v>
      </c>
      <c r="P31" s="1729">
        <f>1/(1+Inputs!B25)^1.5</f>
        <v>0.92223904198323059</v>
      </c>
      <c r="Q31" s="1729">
        <f>1/(1+Inputs!B25)^2.5</f>
        <v>0.87378752378912361</v>
      </c>
      <c r="R31" s="1729">
        <f>1/(1+Inputs!B25)^3.5</f>
        <v>0.82788149489708041</v>
      </c>
      <c r="S31" s="1729">
        <f>1/(1+Inputs!B25)^4.5</f>
        <v>0.78438722336167555</v>
      </c>
      <c r="T31" s="1727"/>
      <c r="U31" s="1494"/>
      <c r="V31" s="1494"/>
      <c r="W31" s="1494"/>
      <c r="X31" s="1494"/>
      <c r="Y31" s="1494"/>
      <c r="Z31" s="1494"/>
      <c r="AA31" s="1494"/>
      <c r="AB31" s="1494"/>
      <c r="AC31" s="1494"/>
    </row>
    <row r="32" spans="1:29">
      <c r="A32" s="1494"/>
      <c r="B32" s="1715"/>
      <c r="C32" s="1715"/>
      <c r="D32" s="1715"/>
      <c r="E32" s="1715"/>
      <c r="F32" s="1715"/>
      <c r="G32" s="1715"/>
      <c r="H32" s="1715"/>
      <c r="I32" s="1715"/>
      <c r="J32" s="1715"/>
      <c r="K32" s="1715"/>
      <c r="L32" s="1715"/>
      <c r="M32" s="1715"/>
      <c r="N32" s="1715"/>
      <c r="O32" s="1716"/>
      <c r="P32" s="1716"/>
      <c r="Q32" s="1716"/>
      <c r="R32" s="1716"/>
      <c r="S32" s="1716"/>
      <c r="T32" s="1715"/>
      <c r="U32" s="1494"/>
      <c r="V32" s="1494"/>
      <c r="W32" s="1494"/>
      <c r="X32" s="1494"/>
      <c r="Y32" s="1494"/>
      <c r="Z32" s="1494"/>
      <c r="AA32" s="1494"/>
      <c r="AB32" s="1494"/>
      <c r="AC32" s="1494"/>
    </row>
    <row r="33" spans="1:49">
      <c r="A33" s="1494"/>
      <c r="B33" s="1715"/>
      <c r="C33" s="1718"/>
      <c r="D33" s="1715"/>
      <c r="E33" s="1715"/>
      <c r="F33" s="1715"/>
      <c r="G33" s="1715"/>
      <c r="H33" s="1715"/>
      <c r="I33" s="1715"/>
      <c r="J33" s="1715"/>
      <c r="K33" s="1715"/>
      <c r="L33" s="1715" t="s">
        <v>88</v>
      </c>
      <c r="M33" s="1715"/>
      <c r="N33" s="1715"/>
      <c r="O33" s="1723">
        <f>'Allowed revenue -DPCR4'!D24</f>
        <v>1</v>
      </c>
      <c r="P33" s="1723">
        <f>'Allowed revenue -DPCR4'!E24</f>
        <v>1.0109999999999999</v>
      </c>
      <c r="Q33" s="1723">
        <f>'Allowed revenue -DPCR4'!F24</f>
        <v>1.0129999999999999</v>
      </c>
      <c r="R33" s="1723">
        <f>'Allowed revenue -DPCR4'!G24</f>
        <v>1.022</v>
      </c>
      <c r="S33" s="1723">
        <f>'Allowed revenue -DPCR4'!H24</f>
        <v>1.024</v>
      </c>
      <c r="T33" s="1718"/>
      <c r="U33" s="1494"/>
      <c r="V33" s="1494"/>
      <c r="W33" s="1494"/>
      <c r="X33" s="1494"/>
      <c r="Y33" s="1494"/>
      <c r="Z33" s="1494"/>
      <c r="AA33" s="1494"/>
      <c r="AB33" s="1494"/>
      <c r="AC33" s="1494"/>
    </row>
    <row r="34" spans="1:49">
      <c r="A34" s="1494"/>
      <c r="B34" s="1715"/>
      <c r="C34" s="1718"/>
      <c r="D34" s="1715"/>
      <c r="E34" s="1715"/>
      <c r="F34" s="1715"/>
      <c r="G34" s="1715"/>
      <c r="H34" s="1715"/>
      <c r="I34" s="1715"/>
      <c r="J34" s="1715"/>
      <c r="K34" s="1715"/>
      <c r="L34" s="1715" t="s">
        <v>89</v>
      </c>
      <c r="M34" s="1715"/>
      <c r="N34" s="1715"/>
      <c r="O34" s="1730">
        <f>O33*O31</f>
        <v>0.97337719686120061</v>
      </c>
      <c r="P34" s="1730">
        <f>P33*P31</f>
        <v>0.93238367144504608</v>
      </c>
      <c r="Q34" s="1730">
        <f>Q33*Q31</f>
        <v>0.88514676159838213</v>
      </c>
      <c r="R34" s="1730">
        <f>R33*R31</f>
        <v>0.84609488778481623</v>
      </c>
      <c r="S34" s="1730">
        <f>S33*S31</f>
        <v>0.80321251672235583</v>
      </c>
      <c r="T34" s="1731"/>
      <c r="U34" s="1494"/>
      <c r="V34" s="1494"/>
      <c r="W34" s="1494"/>
      <c r="X34" s="1494"/>
      <c r="Y34" s="1494"/>
      <c r="Z34" s="1494"/>
      <c r="AA34" s="1494"/>
      <c r="AB34" s="1494"/>
      <c r="AC34" s="1494"/>
      <c r="AD34" s="1494"/>
      <c r="AE34" s="1494"/>
      <c r="AF34" s="1494"/>
      <c r="AG34" s="1494"/>
      <c r="AH34" s="1494"/>
      <c r="AI34" s="1494"/>
      <c r="AJ34" s="1494"/>
      <c r="AK34" s="1494"/>
      <c r="AL34" s="1494"/>
      <c r="AM34" s="1494"/>
      <c r="AN34" s="1494"/>
      <c r="AO34" s="1494"/>
      <c r="AP34" s="1494"/>
      <c r="AQ34" s="1494"/>
      <c r="AR34" s="1494"/>
      <c r="AS34" s="1494"/>
      <c r="AT34" s="1494"/>
      <c r="AU34" s="1494"/>
    </row>
    <row r="35" spans="1:49">
      <c r="A35" s="1494"/>
      <c r="B35" s="1715"/>
      <c r="C35" s="1715"/>
      <c r="D35" s="1715"/>
      <c r="E35" s="1715"/>
      <c r="F35" s="1715"/>
      <c r="G35" s="1715"/>
      <c r="H35" s="1715"/>
      <c r="I35" s="1715"/>
      <c r="J35" s="1715"/>
      <c r="K35" s="1715"/>
      <c r="L35" s="1715" t="s">
        <v>90</v>
      </c>
      <c r="M35" s="1715"/>
      <c r="N35" s="1715"/>
      <c r="O35" s="1721">
        <f>($S$27-$N$41)/SUM($O$34:$U$34)*O33</f>
        <v>221.20241745024757</v>
      </c>
      <c r="P35" s="1721">
        <f>($S$27-$N$41)/SUM($O$34:$U$34)*P33</f>
        <v>223.63564404220025</v>
      </c>
      <c r="Q35" s="1721">
        <f>($S$27-$N$41)/SUM($O$34:$U$34)*Q33</f>
        <v>224.07804887710077</v>
      </c>
      <c r="R35" s="1721">
        <f>($S$27-$N$41)/SUM($O$34:$U$34)*R33</f>
        <v>226.06887063415303</v>
      </c>
      <c r="S35" s="1721">
        <f>($S$27-$N$41)/SUM($O$34:$U$34)*S33</f>
        <v>226.51127546905352</v>
      </c>
      <c r="T35" s="1722"/>
      <c r="U35" s="1494"/>
      <c r="V35" s="1494"/>
      <c r="W35" s="1494"/>
      <c r="X35" s="1494"/>
      <c r="Y35" s="1494"/>
      <c r="Z35" s="1494"/>
      <c r="AA35" s="1494"/>
      <c r="AB35" s="1494"/>
      <c r="AC35" s="1494"/>
      <c r="AD35" s="1494"/>
      <c r="AE35" s="1494"/>
      <c r="AF35" s="1494"/>
      <c r="AG35" s="1494"/>
      <c r="AH35" s="1494"/>
      <c r="AI35" s="1494"/>
      <c r="AJ35" s="1494"/>
      <c r="AK35" s="1494"/>
      <c r="AL35" s="1494"/>
      <c r="AM35" s="1494"/>
      <c r="AN35" s="1494"/>
      <c r="AO35" s="1732"/>
      <c r="AP35" s="1732"/>
      <c r="AQ35" s="1732"/>
      <c r="AR35" s="1732"/>
      <c r="AS35" s="1732"/>
      <c r="AT35" s="1494"/>
      <c r="AU35" s="1494"/>
    </row>
    <row r="36" spans="1:49">
      <c r="A36" s="1494"/>
      <c r="B36" s="1715"/>
      <c r="C36" s="1715"/>
      <c r="D36" s="1715"/>
      <c r="E36" s="1715"/>
      <c r="F36" s="1715"/>
      <c r="G36" s="1715"/>
      <c r="H36" s="1715"/>
      <c r="I36" s="1715"/>
      <c r="J36" s="1715"/>
      <c r="K36" s="1715"/>
      <c r="L36" s="1715" t="s">
        <v>949</v>
      </c>
      <c r="M36" s="1715"/>
      <c r="N36" s="1715"/>
      <c r="O36" s="1716">
        <f>'Allowed revenue -DPCR4'!D27</f>
        <v>5.8</v>
      </c>
      <c r="P36" s="1716">
        <f>'Allowed revenue -DPCR4'!E27</f>
        <v>5.8</v>
      </c>
      <c r="Q36" s="1716">
        <f>'Allowed revenue -DPCR4'!F27</f>
        <v>5.8</v>
      </c>
      <c r="R36" s="1716">
        <f>'Allowed revenue -DPCR4'!G27</f>
        <v>5.8</v>
      </c>
      <c r="S36" s="1716">
        <f>'Allowed revenue -DPCR4'!H27</f>
        <v>5.8</v>
      </c>
      <c r="T36" s="1715"/>
      <c r="U36" s="1494"/>
      <c r="V36" s="1494"/>
      <c r="W36" s="1494"/>
      <c r="X36" s="1494"/>
      <c r="Y36" s="1494"/>
      <c r="Z36" s="1494"/>
      <c r="AA36" s="1494"/>
      <c r="AB36" s="1494"/>
      <c r="AC36" s="1494"/>
      <c r="AD36" s="1494"/>
      <c r="AE36" s="1494"/>
      <c r="AF36" s="1494"/>
      <c r="AG36" s="1494"/>
      <c r="AH36" s="1494"/>
      <c r="AI36" s="1494"/>
      <c r="AJ36" s="1494"/>
      <c r="AK36" s="1494"/>
      <c r="AL36" s="1494"/>
      <c r="AM36" s="1494"/>
      <c r="AN36" s="1494"/>
      <c r="AO36" s="1594"/>
      <c r="AP36" s="1594"/>
      <c r="AQ36" s="1594"/>
      <c r="AR36" s="1594"/>
      <c r="AS36" s="1594"/>
      <c r="AT36" s="1494"/>
      <c r="AU36" s="1494"/>
    </row>
    <row r="37" spans="1:49">
      <c r="A37" s="1494"/>
      <c r="B37" s="1715"/>
      <c r="C37" s="1715"/>
      <c r="D37" s="1715"/>
      <c r="E37" s="1715"/>
      <c r="F37" s="1715"/>
      <c r="G37" s="1715"/>
      <c r="H37" s="1715"/>
      <c r="I37" s="1715"/>
      <c r="J37" s="1715"/>
      <c r="K37" s="1715"/>
      <c r="L37" s="1715" t="s">
        <v>92</v>
      </c>
      <c r="M37" s="1715"/>
      <c r="N37" s="1715"/>
      <c r="O37" s="1721">
        <f>O36+O35</f>
        <v>227.00241745024758</v>
      </c>
      <c r="P37" s="1721">
        <f>P36+P35</f>
        <v>229.43564404220027</v>
      </c>
      <c r="Q37" s="1721">
        <f>Q36+Q35</f>
        <v>229.87804887710078</v>
      </c>
      <c r="R37" s="1721">
        <f>R36+R35</f>
        <v>231.86887063415304</v>
      </c>
      <c r="S37" s="1721">
        <f>S36+S35</f>
        <v>232.31127546905353</v>
      </c>
      <c r="T37" s="1722"/>
      <c r="U37" s="1494"/>
      <c r="V37" s="1494"/>
      <c r="W37" s="1494"/>
      <c r="X37" s="1494"/>
      <c r="Y37" s="1494"/>
      <c r="Z37" s="1494"/>
      <c r="AA37" s="1494"/>
      <c r="AB37" s="1494"/>
      <c r="AC37" s="1494"/>
      <c r="AD37" s="1494"/>
      <c r="AE37" s="1494"/>
      <c r="AF37" s="1494"/>
      <c r="AG37" s="1494"/>
      <c r="AH37" s="1494"/>
      <c r="AI37" s="1494"/>
      <c r="AJ37" s="1494"/>
      <c r="AK37" s="1494"/>
      <c r="AL37" s="1494"/>
      <c r="AM37" s="1494"/>
      <c r="AN37" s="1494"/>
      <c r="AO37" s="1494"/>
      <c r="AP37" s="1494"/>
      <c r="AQ37" s="1494"/>
      <c r="AR37" s="1733"/>
      <c r="AS37" s="1494"/>
      <c r="AT37" s="1494"/>
      <c r="AU37" s="1494"/>
    </row>
    <row r="38" spans="1:49">
      <c r="A38" s="1494"/>
      <c r="B38" s="1715"/>
      <c r="C38" s="1715"/>
      <c r="D38" s="1715"/>
      <c r="E38" s="1715"/>
      <c r="F38" s="1715"/>
      <c r="G38" s="1715"/>
      <c r="H38" s="1715"/>
      <c r="I38" s="1715"/>
      <c r="J38" s="1715"/>
      <c r="K38" s="1715"/>
      <c r="L38" s="1715" t="s">
        <v>950</v>
      </c>
      <c r="M38" s="1715"/>
      <c r="N38" s="1715"/>
      <c r="O38" s="1721">
        <f>O37*O31</f>
        <v>220.95897677843809</v>
      </c>
      <c r="P38" s="1721">
        <f>P37*P31</f>
        <v>211.59450855828428</v>
      </c>
      <c r="Q38" s="1721">
        <f>Q37*Q31</f>
        <v>200.86457110179703</v>
      </c>
      <c r="R38" s="1721">
        <f>R37*R31</f>
        <v>191.95994724070036</v>
      </c>
      <c r="S38" s="1721">
        <f>S37*S31</f>
        <v>182.22199632078022</v>
      </c>
      <c r="T38" s="1722"/>
      <c r="U38" s="1494"/>
      <c r="V38" s="1494"/>
      <c r="W38" s="1494"/>
      <c r="X38" s="1494"/>
      <c r="Y38" s="1494"/>
      <c r="Z38" s="1494"/>
      <c r="AA38" s="1494"/>
      <c r="AB38" s="1494"/>
      <c r="AC38" s="1494"/>
      <c r="AD38" s="1494"/>
      <c r="AE38" s="1494"/>
      <c r="AF38" s="1494"/>
      <c r="AG38" s="1494"/>
      <c r="AH38" s="1494"/>
      <c r="AI38" s="1494"/>
      <c r="AJ38" s="1494"/>
      <c r="AK38" s="1494"/>
      <c r="AL38" s="1494"/>
      <c r="AM38" s="1494"/>
      <c r="AN38" s="1494"/>
      <c r="AO38" s="1494"/>
      <c r="AP38" s="1494"/>
      <c r="AQ38" s="1494"/>
      <c r="AR38" s="1494"/>
      <c r="AS38" s="1494"/>
      <c r="AT38" s="1494"/>
      <c r="AU38" s="1494"/>
    </row>
    <row r="39" spans="1:49">
      <c r="A39" s="1494"/>
      <c r="B39" s="1715"/>
      <c r="C39" s="1715"/>
      <c r="D39" s="1715"/>
      <c r="E39" s="1715"/>
      <c r="F39" s="1715"/>
      <c r="G39" s="1715"/>
      <c r="H39" s="1715"/>
      <c r="I39" s="1715"/>
      <c r="J39" s="1715"/>
      <c r="K39" s="1715"/>
      <c r="L39" s="1715" t="s">
        <v>948</v>
      </c>
      <c r="M39" s="1715"/>
      <c r="N39" s="1715"/>
      <c r="O39" s="1716"/>
      <c r="P39" s="1716"/>
      <c r="Q39" s="1716"/>
      <c r="R39" s="1716"/>
      <c r="S39" s="1721">
        <f>SUM(O38:S38)</f>
        <v>1007.6</v>
      </c>
      <c r="T39" s="1722"/>
      <c r="U39" s="1494"/>
      <c r="V39" s="1494"/>
      <c r="W39" s="1494"/>
      <c r="X39" s="1494"/>
      <c r="Y39" s="1494"/>
      <c r="Z39" s="1494"/>
      <c r="AA39" s="1494"/>
      <c r="AB39" s="1494"/>
      <c r="AC39" s="1494"/>
      <c r="AD39" s="1494"/>
      <c r="AE39" s="1494"/>
      <c r="AF39" s="1494"/>
      <c r="AG39" s="1494"/>
      <c r="AH39" s="1494"/>
      <c r="AI39" s="1494"/>
      <c r="AJ39" s="1494"/>
      <c r="AK39" s="1494"/>
      <c r="AL39" s="1494"/>
      <c r="AM39" s="1494"/>
      <c r="AN39" s="1494"/>
      <c r="AO39" s="1494"/>
      <c r="AP39" s="1494"/>
      <c r="AQ39" s="1494"/>
      <c r="AR39" s="1494"/>
      <c r="AS39" s="1494"/>
      <c r="AT39" s="1494"/>
      <c r="AU39" s="1494"/>
    </row>
    <row r="40" spans="1:49">
      <c r="A40" s="1494"/>
      <c r="B40" s="1715"/>
      <c r="C40" s="1715"/>
      <c r="D40" s="1715"/>
      <c r="E40" s="1715"/>
      <c r="F40" s="1715"/>
      <c r="G40" s="1715"/>
      <c r="H40" s="1715"/>
      <c r="I40" s="1715"/>
      <c r="J40" s="1715"/>
      <c r="K40" s="1715"/>
      <c r="L40" s="1715"/>
      <c r="M40" s="1715"/>
      <c r="N40" s="1715"/>
      <c r="O40" s="1716"/>
      <c r="P40" s="1716"/>
      <c r="Q40" s="1716"/>
      <c r="R40" s="1716"/>
      <c r="S40" s="1716"/>
      <c r="T40" s="1715"/>
      <c r="U40" s="1494"/>
      <c r="V40" s="1494"/>
      <c r="W40" s="1494"/>
      <c r="X40" s="1494"/>
      <c r="Y40" s="1494"/>
      <c r="Z40" s="1494"/>
      <c r="AA40" s="1494"/>
      <c r="AB40" s="1494"/>
      <c r="AC40" s="1494"/>
      <c r="AD40" s="1494"/>
      <c r="AE40" s="1494"/>
      <c r="AF40" s="1494"/>
      <c r="AG40" s="1494"/>
      <c r="AH40" s="1494"/>
      <c r="AI40" s="1494"/>
      <c r="AJ40" s="1494"/>
      <c r="AK40" s="1494"/>
      <c r="AL40" s="1494"/>
      <c r="AM40" s="1494"/>
      <c r="AN40" s="1494"/>
      <c r="AO40" s="1494"/>
      <c r="AP40" s="1494"/>
      <c r="AQ40" s="1494"/>
      <c r="AR40" s="1494"/>
      <c r="AS40" s="1494"/>
      <c r="AT40" s="1494"/>
      <c r="AU40" s="1494"/>
    </row>
    <row r="41" spans="1:49">
      <c r="A41" s="1494"/>
      <c r="B41" s="1715"/>
      <c r="C41" s="1715"/>
      <c r="D41" s="1715"/>
      <c r="E41" s="1715"/>
      <c r="F41" s="1715"/>
      <c r="G41" s="1715"/>
      <c r="H41" s="1715"/>
      <c r="I41" s="1715"/>
      <c r="J41" s="1715"/>
      <c r="K41" s="1715"/>
      <c r="L41" s="1715" t="s">
        <v>951</v>
      </c>
      <c r="M41" s="1715"/>
      <c r="N41" s="1722">
        <f>SUM(O41:S41)</f>
        <v>25.413700389175403</v>
      </c>
      <c r="O41" s="1721">
        <f>O36*O31</f>
        <v>5.6455877417949631</v>
      </c>
      <c r="P41" s="1721">
        <f>P36*P31</f>
        <v>5.3489864435027377</v>
      </c>
      <c r="Q41" s="1721">
        <f>Q36*Q31</f>
        <v>5.067967637976917</v>
      </c>
      <c r="R41" s="1721">
        <f>R36*R31</f>
        <v>4.8017126704030666</v>
      </c>
      <c r="S41" s="1721">
        <f>S36*S31</f>
        <v>4.5494458954977182</v>
      </c>
      <c r="T41" s="1722"/>
      <c r="U41" s="1494"/>
      <c r="V41" s="1494"/>
      <c r="W41" s="1494"/>
      <c r="X41" s="1494"/>
      <c r="Y41" s="1494"/>
      <c r="Z41" s="1494"/>
      <c r="AA41" s="1494"/>
      <c r="AB41" s="1494"/>
      <c r="AC41" s="1494"/>
      <c r="AD41" s="1494"/>
      <c r="AE41" s="1494"/>
      <c r="AF41" s="1494"/>
      <c r="AG41" s="1494"/>
      <c r="AH41" s="1494"/>
      <c r="AI41" s="1494"/>
      <c r="AJ41" s="1494"/>
      <c r="AK41" s="1494"/>
      <c r="AL41" s="1494"/>
      <c r="AM41" s="1494"/>
      <c r="AN41" s="1494"/>
      <c r="AO41" s="1494"/>
      <c r="AP41" s="1494"/>
      <c r="AQ41" s="1494"/>
      <c r="AR41" s="1494"/>
      <c r="AS41" s="1494"/>
      <c r="AT41" s="1494"/>
      <c r="AU41" s="1494"/>
    </row>
    <row r="42" spans="1:49" s="1735" customFormat="1">
      <c r="A42" s="1734"/>
      <c r="N42" s="1736"/>
      <c r="O42" s="1736"/>
      <c r="P42" s="1736"/>
      <c r="Q42" s="1736"/>
      <c r="R42" s="1736"/>
      <c r="S42" s="1736"/>
      <c r="T42" s="1736"/>
      <c r="U42" s="1734"/>
      <c r="V42" s="1734"/>
      <c r="W42" s="1734"/>
      <c r="X42" s="1734"/>
      <c r="Y42" s="1734"/>
      <c r="Z42" s="1734"/>
      <c r="AA42" s="1734"/>
      <c r="AB42" s="1734"/>
      <c r="AC42" s="1734"/>
      <c r="AD42" s="1734"/>
      <c r="AE42" s="1734"/>
      <c r="AF42" s="1734"/>
      <c r="AG42" s="1734"/>
      <c r="AH42" s="1734"/>
      <c r="AI42" s="1734"/>
      <c r="AJ42" s="1734"/>
      <c r="AK42" s="1734"/>
      <c r="AL42" s="1734"/>
      <c r="AM42" s="1734"/>
      <c r="AN42" s="1734"/>
      <c r="AO42" s="1734"/>
      <c r="AP42" s="1734"/>
      <c r="AQ42" s="1734"/>
      <c r="AR42" s="1734"/>
      <c r="AS42" s="1734"/>
      <c r="AT42" s="1734"/>
      <c r="AU42" s="1734"/>
    </row>
    <row r="43" spans="1:49" s="1737" customFormat="1">
      <c r="A43" s="1713" t="s">
        <v>952</v>
      </c>
      <c r="N43" s="1738"/>
      <c r="O43" s="1738"/>
      <c r="P43" s="1738"/>
      <c r="Q43" s="1738"/>
      <c r="R43" s="1738"/>
      <c r="S43" s="1738"/>
      <c r="T43" s="1738"/>
      <c r="U43" s="1739"/>
      <c r="V43" s="1739"/>
      <c r="W43" s="1739"/>
      <c r="X43" s="1739"/>
      <c r="Y43" s="1739"/>
      <c r="Z43" s="1739"/>
      <c r="AA43" s="1739"/>
      <c r="AB43" s="1739"/>
      <c r="AC43" s="1739"/>
      <c r="AD43" s="1739"/>
      <c r="AE43" s="1739"/>
      <c r="AF43" s="1739"/>
      <c r="AG43" s="1739"/>
      <c r="AH43" s="1739"/>
      <c r="AI43" s="1739"/>
      <c r="AJ43" s="1739"/>
      <c r="AK43" s="1739"/>
      <c r="AL43" s="1739"/>
      <c r="AM43" s="1739"/>
      <c r="AN43" s="1739"/>
      <c r="AO43" s="1739"/>
      <c r="AP43" s="1739"/>
      <c r="AQ43" s="1739"/>
      <c r="AR43" s="1739"/>
      <c r="AS43" s="1739"/>
      <c r="AT43" s="1739"/>
      <c r="AU43" s="1739"/>
    </row>
    <row r="44" spans="1:49">
      <c r="A44" s="1494"/>
      <c r="B44" s="409"/>
      <c r="C44" s="409"/>
      <c r="D44" s="409"/>
      <c r="E44" s="409"/>
      <c r="F44" s="409"/>
      <c r="G44" s="409"/>
      <c r="H44" s="409"/>
      <c r="I44" s="409"/>
      <c r="J44" s="409"/>
      <c r="K44" s="409"/>
      <c r="L44" s="409"/>
      <c r="M44" s="409"/>
      <c r="N44" s="1740"/>
      <c r="O44" s="1740"/>
      <c r="P44" s="1740"/>
      <c r="Q44" s="1740"/>
      <c r="R44" s="1740"/>
      <c r="S44" s="1740"/>
      <c r="T44" s="1740"/>
      <c r="U44" s="1740"/>
      <c r="V44" s="1740"/>
      <c r="W44" s="1494"/>
      <c r="X44" s="1494"/>
      <c r="Y44" s="1494"/>
      <c r="Z44" s="1494"/>
      <c r="AA44" s="1494"/>
      <c r="AB44" s="1494"/>
      <c r="AC44" s="1494"/>
      <c r="AD44" s="1494"/>
      <c r="AE44" s="1494"/>
      <c r="AF44" s="1494"/>
      <c r="AG44" s="1494"/>
      <c r="AH44" s="1494"/>
      <c r="AI44" s="1494"/>
      <c r="AJ44" s="1494"/>
      <c r="AK44" s="1494"/>
      <c r="AL44" s="1494"/>
      <c r="AM44" s="1494"/>
      <c r="AN44" s="1494"/>
      <c r="AO44" s="1494"/>
      <c r="AP44" s="1494"/>
      <c r="AQ44" s="1494"/>
      <c r="AR44" s="1494"/>
      <c r="AS44" s="1494"/>
      <c r="AT44" s="1494"/>
      <c r="AU44" s="1494"/>
      <c r="AV44" s="1494"/>
      <c r="AW44" s="1494"/>
    </row>
    <row r="45" spans="1:49" ht="25.5">
      <c r="A45" s="1494"/>
      <c r="B45" s="1741" t="s">
        <v>953</v>
      </c>
      <c r="C45" s="1742" t="s">
        <v>954</v>
      </c>
      <c r="D45" s="1743" t="s">
        <v>955</v>
      </c>
      <c r="E45" s="2236" t="s">
        <v>956</v>
      </c>
      <c r="F45" s="2236"/>
      <c r="G45" s="2236"/>
      <c r="H45" s="2236"/>
      <c r="I45" s="2236"/>
      <c r="J45" s="1744"/>
      <c r="K45" s="2237" t="s">
        <v>223</v>
      </c>
      <c r="L45" s="2237"/>
      <c r="M45" s="2237"/>
      <c r="N45" s="2237"/>
      <c r="O45" s="1745"/>
      <c r="P45" s="2238"/>
      <c r="Q45" s="2239"/>
      <c r="R45" s="2240"/>
      <c r="S45" s="2240"/>
      <c r="T45" s="2240"/>
      <c r="U45" s="1494"/>
      <c r="V45" s="1494"/>
      <c r="W45" s="1494"/>
      <c r="X45" s="1494"/>
      <c r="Y45" s="1494"/>
      <c r="Z45" s="1494"/>
      <c r="AA45" s="1494"/>
      <c r="AB45" s="1494"/>
      <c r="AC45" s="1494"/>
      <c r="AD45" s="1494"/>
      <c r="AE45" s="1494"/>
      <c r="AF45" s="1494"/>
      <c r="AG45" s="1494"/>
      <c r="AH45" s="1494"/>
      <c r="AI45" s="1494"/>
      <c r="AJ45" s="1494"/>
      <c r="AK45" s="1494"/>
      <c r="AL45" s="1494"/>
      <c r="AM45" s="1494"/>
      <c r="AN45" s="1494"/>
      <c r="AO45" s="1494"/>
      <c r="AP45" s="1494"/>
      <c r="AQ45" s="1494"/>
      <c r="AR45" s="1494"/>
      <c r="AS45" s="1494"/>
      <c r="AT45" s="1494"/>
      <c r="AU45" s="1494"/>
      <c r="AV45" s="1494"/>
      <c r="AW45" s="1494"/>
    </row>
    <row r="46" spans="1:49">
      <c r="A46" s="1494"/>
      <c r="B46" s="1746"/>
      <c r="C46" s="1747"/>
      <c r="D46" s="1748"/>
      <c r="E46" s="1749" t="s">
        <v>427</v>
      </c>
      <c r="F46" s="1749"/>
      <c r="G46" s="1749" t="s">
        <v>245</v>
      </c>
      <c r="H46" s="1749" t="s">
        <v>53</v>
      </c>
      <c r="I46" s="1749" t="s">
        <v>466</v>
      </c>
      <c r="J46" s="1750" t="s">
        <v>891</v>
      </c>
      <c r="K46" s="1751" t="s">
        <v>427</v>
      </c>
      <c r="L46" s="1751" t="s">
        <v>245</v>
      </c>
      <c r="M46" s="1751" t="s">
        <v>53</v>
      </c>
      <c r="N46" s="1751" t="s">
        <v>466</v>
      </c>
      <c r="O46" s="1752" t="s">
        <v>891</v>
      </c>
      <c r="P46" s="1753"/>
      <c r="Q46" s="1754"/>
      <c r="R46" s="1754"/>
      <c r="S46" s="1754"/>
      <c r="T46" s="1754"/>
      <c r="U46" s="1494"/>
      <c r="V46" s="1494"/>
      <c r="W46" s="1494"/>
      <c r="X46" s="1494"/>
      <c r="Y46" s="1494"/>
      <c r="Z46" s="1494"/>
      <c r="AA46" s="1494"/>
      <c r="AB46" s="1494"/>
      <c r="AC46" s="1494"/>
      <c r="AD46" s="1494"/>
      <c r="AE46" s="1494"/>
      <c r="AF46" s="1494"/>
      <c r="AG46" s="1494"/>
      <c r="AH46" s="1494"/>
      <c r="AI46" s="1494"/>
      <c r="AJ46" s="1494"/>
      <c r="AK46" s="1494"/>
      <c r="AL46" s="1494"/>
      <c r="AM46" s="1494"/>
      <c r="AN46" s="1494"/>
      <c r="AO46" s="1494"/>
      <c r="AP46" s="1494"/>
      <c r="AQ46" s="1494"/>
      <c r="AR46" s="1494"/>
      <c r="AS46" s="1494"/>
      <c r="AT46" s="1494"/>
      <c r="AU46" s="1494"/>
      <c r="AV46" s="1494"/>
      <c r="AW46" s="1494"/>
    </row>
    <row r="47" spans="1:49">
      <c r="A47" s="1494"/>
      <c r="B47" s="1755" t="s">
        <v>942</v>
      </c>
      <c r="C47" s="1756">
        <f>SUM(D24:I24)</f>
        <v>370.95625647275517</v>
      </c>
      <c r="D47" s="1757" t="s">
        <v>910</v>
      </c>
      <c r="E47" s="1758">
        <f>VLOOKUP($D47,'Calc-Drivers'!$B$17:$G$27,E$53,FALSE)</f>
        <v>0.425577777672005</v>
      </c>
      <c r="F47" s="1758"/>
      <c r="G47" s="1758">
        <f>VLOOKUP($D47,'Calc-Drivers'!$B$17:$G$27,G$53,FALSE)</f>
        <v>0.24783772180962821</v>
      </c>
      <c r="H47" s="1758">
        <f>VLOOKUP($D47,'Calc-Drivers'!$B$17:$G$27,H$53,FALSE)</f>
        <v>8.4059440608810432E-2</v>
      </c>
      <c r="I47" s="1758">
        <f>VLOOKUP($D47,'Calc-Drivers'!$B$17:$G$27,I$53,FALSE)</f>
        <v>0.18330616138983297</v>
      </c>
      <c r="J47" s="1759">
        <f>VLOOKUP($D47,'Calc-Drivers'!$B$17:$G$27,J$53,FALSE)</f>
        <v>5.9218898519723409E-2</v>
      </c>
      <c r="K47" s="1760">
        <f>$C47*E47</f>
        <v>157.87073924320146</v>
      </c>
      <c r="L47" s="1760">
        <f t="shared" ref="L47:N49" si="2">$C47*G47</f>
        <v>91.936953495235784</v>
      </c>
      <c r="M47" s="1760">
        <f t="shared" si="2"/>
        <v>31.182375409438215</v>
      </c>
      <c r="N47" s="1760">
        <f t="shared" si="2"/>
        <v>67.998567417563123</v>
      </c>
      <c r="O47" s="1761">
        <f>$C47 * J47</f>
        <v>21.967620907316579</v>
      </c>
      <c r="P47" s="1762"/>
      <c r="Q47" s="1763"/>
      <c r="R47" s="1763"/>
      <c r="S47" s="1763"/>
      <c r="T47" s="1763"/>
      <c r="U47" s="1494"/>
      <c r="V47" s="1494"/>
      <c r="W47" s="1494"/>
      <c r="X47" s="1494"/>
      <c r="Y47" s="1494"/>
      <c r="Z47" s="1494"/>
      <c r="AA47" s="1494"/>
      <c r="AB47" s="1494"/>
      <c r="AC47" s="1494"/>
      <c r="AD47" s="1494"/>
      <c r="AE47" s="1494"/>
      <c r="AF47" s="1494"/>
      <c r="AG47" s="1494"/>
      <c r="AH47" s="1494"/>
      <c r="AI47" s="1494"/>
      <c r="AJ47" s="1494"/>
      <c r="AK47" s="1494"/>
      <c r="AL47" s="1494"/>
      <c r="AM47" s="1494"/>
      <c r="AN47" s="1494"/>
      <c r="AO47" s="1494"/>
      <c r="AP47" s="1494"/>
      <c r="AQ47" s="1494"/>
      <c r="AR47" s="1494"/>
      <c r="AS47" s="1494"/>
      <c r="AT47" s="1494"/>
      <c r="AU47" s="1494"/>
      <c r="AV47" s="1494"/>
      <c r="AW47" s="1494"/>
    </row>
    <row r="48" spans="1:49">
      <c r="A48" s="1494"/>
      <c r="B48" s="1755" t="s">
        <v>69</v>
      </c>
      <c r="C48" s="1756">
        <f>SUM(D18:I18)</f>
        <v>398.5</v>
      </c>
      <c r="D48" s="1764" t="s">
        <v>910</v>
      </c>
      <c r="E48" s="1758">
        <f>VLOOKUP($D48,'Calc-Drivers'!$B$17:$G$27,E$53,FALSE)</f>
        <v>0.425577777672005</v>
      </c>
      <c r="F48" s="1758"/>
      <c r="G48" s="1758">
        <f>VLOOKUP($D48,'Calc-Drivers'!$B$17:$G$27,G$53,FALSE)</f>
        <v>0.24783772180962821</v>
      </c>
      <c r="H48" s="1758">
        <f>VLOOKUP($D48,'Calc-Drivers'!$B$17:$G$27,H$53,FALSE)</f>
        <v>8.4059440608810432E-2</v>
      </c>
      <c r="I48" s="1758">
        <f>VLOOKUP($D48,'Calc-Drivers'!$B$17:$G$27,I$53,FALSE)</f>
        <v>0.18330616138983297</v>
      </c>
      <c r="J48" s="1759">
        <f>VLOOKUP($D48,'Calc-Drivers'!$B$17:$G$27,J$53,FALSE)</f>
        <v>5.9218898519723409E-2</v>
      </c>
      <c r="K48" s="1760">
        <f>$C48*E48</f>
        <v>169.59274440229399</v>
      </c>
      <c r="L48" s="1760">
        <f t="shared" si="2"/>
        <v>98.763332141136843</v>
      </c>
      <c r="M48" s="1760">
        <f t="shared" si="2"/>
        <v>33.497687082610959</v>
      </c>
      <c r="N48" s="1760">
        <f t="shared" si="2"/>
        <v>73.047505313848433</v>
      </c>
      <c r="O48" s="1761">
        <f>$C48 * J48</f>
        <v>23.598731060109778</v>
      </c>
      <c r="P48" s="1762"/>
      <c r="Q48" s="1763"/>
      <c r="R48" s="1763"/>
      <c r="S48" s="1763"/>
      <c r="T48" s="1763"/>
      <c r="U48" s="1494"/>
      <c r="V48" s="1494"/>
      <c r="W48" s="1494"/>
      <c r="X48" s="1494"/>
      <c r="Y48" s="1494"/>
      <c r="Z48" s="1494"/>
      <c r="AA48" s="1494"/>
      <c r="AB48" s="1494"/>
      <c r="AC48" s="1494"/>
      <c r="AD48" s="1494"/>
      <c r="AE48" s="1494"/>
      <c r="AF48" s="1494"/>
      <c r="AG48" s="1494"/>
      <c r="AH48" s="1494"/>
      <c r="AI48" s="1494"/>
      <c r="AJ48" s="1494"/>
      <c r="AK48" s="1494"/>
      <c r="AL48" s="1494"/>
      <c r="AM48" s="1494"/>
      <c r="AN48" s="1494"/>
      <c r="AO48" s="1494"/>
      <c r="AP48" s="1494"/>
      <c r="AQ48" s="1494"/>
      <c r="AR48" s="1494"/>
      <c r="AS48" s="1494"/>
      <c r="AT48" s="1494"/>
      <c r="AU48" s="1494"/>
      <c r="AV48" s="1494"/>
      <c r="AW48" s="1494"/>
    </row>
    <row r="49" spans="1:49">
      <c r="A49" s="1494"/>
      <c r="B49" s="1765" t="s">
        <v>957</v>
      </c>
      <c r="C49" s="1756">
        <f>SUM(D15:I15)</f>
        <v>352.04</v>
      </c>
      <c r="D49" s="1764" t="s">
        <v>958</v>
      </c>
      <c r="E49" s="1758">
        <f>'Calc-Opex'!AQ42</f>
        <v>0.24038761375012538</v>
      </c>
      <c r="F49" s="1758"/>
      <c r="G49" s="1758">
        <f>'Calc-Opex'!AR42</f>
        <v>0.21759279496501685</v>
      </c>
      <c r="H49" s="1758">
        <f>'Calc-Opex'!AS42</f>
        <v>8.6592626462538388E-2</v>
      </c>
      <c r="I49" s="1758">
        <f>'Calc-Opex'!AT42</f>
        <v>0.2411171252380542</v>
      </c>
      <c r="J49" s="1759">
        <f>'Calc-Opex'!AU42</f>
        <v>0.21430983958426508</v>
      </c>
      <c r="K49" s="1760">
        <f>$C49*E49</f>
        <v>84.626055544594138</v>
      </c>
      <c r="L49" s="1760">
        <f t="shared" si="2"/>
        <v>76.601367539484542</v>
      </c>
      <c r="M49" s="1760">
        <f t="shared" si="2"/>
        <v>30.484068219872015</v>
      </c>
      <c r="N49" s="1760">
        <f>$C49*I49</f>
        <v>84.882872768804603</v>
      </c>
      <c r="O49" s="1761">
        <f>$C49 * J49</f>
        <v>75.44563592724468</v>
      </c>
      <c r="P49" s="1762"/>
      <c r="Q49" s="1763"/>
      <c r="R49" s="1763"/>
      <c r="S49" s="1763"/>
      <c r="T49" s="1763"/>
      <c r="U49" s="1494"/>
      <c r="V49" s="1494"/>
      <c r="W49" s="1494"/>
      <c r="X49" s="1494"/>
      <c r="Y49" s="1494"/>
      <c r="Z49" s="1494"/>
      <c r="AA49" s="1494"/>
      <c r="AB49" s="1494"/>
      <c r="AC49" s="1494"/>
      <c r="AD49" s="1494"/>
      <c r="AE49" s="1494"/>
      <c r="AF49" s="1494"/>
      <c r="AG49" s="1494"/>
      <c r="AH49" s="1494"/>
      <c r="AI49" s="1494"/>
      <c r="AJ49" s="1494"/>
      <c r="AK49" s="1494"/>
      <c r="AL49" s="1494"/>
      <c r="AM49" s="1494"/>
      <c r="AN49" s="1494"/>
      <c r="AO49" s="1494"/>
      <c r="AP49" s="1494"/>
      <c r="AQ49" s="1494"/>
      <c r="AR49" s="1494"/>
      <c r="AS49" s="1494"/>
      <c r="AT49" s="1494"/>
      <c r="AU49" s="1494"/>
      <c r="AV49" s="1494"/>
      <c r="AW49" s="1494"/>
    </row>
    <row r="50" spans="1:49">
      <c r="A50" s="1494"/>
      <c r="B50" s="1766"/>
      <c r="C50" s="1756"/>
      <c r="D50" s="1766"/>
      <c r="E50" s="1767"/>
      <c r="F50" s="1767"/>
      <c r="G50" s="1767"/>
      <c r="H50" s="1767"/>
      <c r="I50" s="1767"/>
      <c r="J50" s="1768"/>
      <c r="K50" s="1769"/>
      <c r="L50" s="1769"/>
      <c r="M50" s="1760"/>
      <c r="N50" s="1769"/>
      <c r="O50" s="1761"/>
      <c r="P50" s="1770"/>
      <c r="Q50" s="1771"/>
      <c r="R50" s="1771"/>
      <c r="S50" s="1763"/>
      <c r="T50" s="1754"/>
      <c r="U50" s="1494"/>
      <c r="V50" s="1494"/>
      <c r="W50" s="1494"/>
      <c r="X50" s="1494"/>
      <c r="Y50" s="1494"/>
      <c r="Z50" s="1494"/>
      <c r="AA50" s="1494"/>
      <c r="AB50" s="1494"/>
      <c r="AC50" s="1494"/>
      <c r="AD50" s="1494"/>
      <c r="AE50" s="1494"/>
      <c r="AF50" s="1494"/>
      <c r="AG50" s="1494"/>
      <c r="AH50" s="1494"/>
      <c r="AI50" s="1494"/>
      <c r="AJ50" s="1494"/>
      <c r="AK50" s="1494"/>
      <c r="AL50" s="1494"/>
      <c r="AM50" s="1494"/>
      <c r="AN50" s="1494"/>
      <c r="AO50" s="1494"/>
      <c r="AP50" s="1494"/>
      <c r="AQ50" s="1494"/>
      <c r="AR50" s="1494"/>
      <c r="AS50" s="1494"/>
      <c r="AT50" s="1494"/>
      <c r="AU50" s="1494"/>
      <c r="AV50" s="1494"/>
      <c r="AW50" s="1494"/>
    </row>
    <row r="51" spans="1:49">
      <c r="A51" s="1494"/>
      <c r="B51" s="1765" t="s">
        <v>220</v>
      </c>
      <c r="C51" s="1756">
        <f>SUM(C47:C49)</f>
        <v>1121.4962564727552</v>
      </c>
      <c r="D51" s="1766"/>
      <c r="E51" s="1767"/>
      <c r="F51" s="1767"/>
      <c r="G51" s="1767"/>
      <c r="H51" s="1767"/>
      <c r="I51" s="1767"/>
      <c r="J51" s="1768"/>
      <c r="K51" s="1760">
        <f>SUM(K47:K50)</f>
        <v>412.08953919008957</v>
      </c>
      <c r="L51" s="1760">
        <f>SUM(L47:L50)</f>
        <v>267.30165317585715</v>
      </c>
      <c r="M51" s="1760">
        <f>SUM(M47:M50)</f>
        <v>95.164130711921189</v>
      </c>
      <c r="N51" s="1760">
        <f>SUM(N47:N50)</f>
        <v>225.92894550021617</v>
      </c>
      <c r="O51" s="1761">
        <f>SUM($O$47:$O$50)</f>
        <v>121.01198789467104</v>
      </c>
      <c r="P51" s="1772"/>
      <c r="Q51" s="1773"/>
      <c r="R51" s="1773"/>
      <c r="S51" s="1773"/>
      <c r="T51" s="1773"/>
      <c r="U51" s="1494"/>
      <c r="V51" s="1494"/>
      <c r="W51" s="1494"/>
      <c r="X51" s="1494"/>
      <c r="Y51" s="1494"/>
      <c r="Z51" s="1494"/>
      <c r="AA51" s="1494"/>
      <c r="AB51" s="1494"/>
      <c r="AC51" s="1494"/>
      <c r="AD51" s="1494"/>
      <c r="AE51" s="1494"/>
      <c r="AF51" s="1494"/>
      <c r="AG51" s="1494"/>
      <c r="AH51" s="1494"/>
      <c r="AI51" s="1494"/>
      <c r="AJ51" s="1494"/>
      <c r="AK51" s="1494"/>
      <c r="AL51" s="1494"/>
      <c r="AM51" s="1494"/>
      <c r="AN51" s="1494"/>
      <c r="AO51" s="1494"/>
      <c r="AP51" s="1494"/>
      <c r="AQ51" s="1494"/>
      <c r="AR51" s="1494"/>
      <c r="AS51" s="1494"/>
      <c r="AT51" s="1494"/>
      <c r="AU51" s="1494"/>
      <c r="AV51" s="1494"/>
      <c r="AW51" s="1494"/>
    </row>
    <row r="52" spans="1:49">
      <c r="A52" s="1494"/>
      <c r="B52" s="1748"/>
      <c r="C52" s="1748"/>
      <c r="D52" s="1748"/>
      <c r="E52" s="1774"/>
      <c r="F52" s="1774"/>
      <c r="G52" s="1774"/>
      <c r="H52" s="1774"/>
      <c r="I52" s="1774"/>
      <c r="J52" s="1750"/>
      <c r="K52" s="1775">
        <f>K51/SUM($K$51:$O$51)</f>
        <v>0.36744620127949634</v>
      </c>
      <c r="L52" s="1775">
        <f>L51/SUM($K$51:$O$51)</f>
        <v>0.23834377656912922</v>
      </c>
      <c r="M52" s="1775">
        <f>M51/SUM($K$51:$O$51)</f>
        <v>8.4854612900112744E-2</v>
      </c>
      <c r="N52" s="1775">
        <f>N51/SUM($K$51:$O$51)</f>
        <v>0.20145314279584914</v>
      </c>
      <c r="O52" s="1776">
        <f>O51/SUM($K$50:$O$51)</f>
        <v>0.10790226645541266</v>
      </c>
      <c r="P52" s="1770"/>
      <c r="Q52" s="1771"/>
      <c r="R52" s="1771"/>
      <c r="S52" s="1771"/>
      <c r="T52" s="1771"/>
      <c r="U52" s="1494"/>
      <c r="V52" s="1494"/>
      <c r="W52" s="1494"/>
      <c r="X52" s="1494"/>
      <c r="Y52" s="1494"/>
      <c r="Z52" s="1494"/>
      <c r="AA52" s="1494"/>
      <c r="AB52" s="1494"/>
      <c r="AC52" s="1494"/>
      <c r="AD52" s="1494"/>
      <c r="AE52" s="1494"/>
      <c r="AF52" s="1494"/>
      <c r="AG52" s="1494"/>
      <c r="AH52" s="1494"/>
      <c r="AI52" s="1494"/>
      <c r="AJ52" s="1494"/>
      <c r="AK52" s="1494"/>
      <c r="AL52" s="1494"/>
      <c r="AM52" s="1494"/>
      <c r="AN52" s="1494"/>
      <c r="AO52" s="1494"/>
      <c r="AP52" s="1494"/>
      <c r="AQ52" s="1494"/>
      <c r="AR52" s="1494"/>
      <c r="AS52" s="1494"/>
      <c r="AT52" s="1494"/>
      <c r="AU52" s="1494"/>
      <c r="AV52" s="1494"/>
      <c r="AW52" s="1494"/>
    </row>
    <row r="53" spans="1:49">
      <c r="A53" s="1494"/>
      <c r="B53" s="1494"/>
      <c r="C53" s="1494"/>
      <c r="D53" s="1494"/>
      <c r="E53" s="1494">
        <v>6</v>
      </c>
      <c r="F53" s="1494"/>
      <c r="G53" s="1494">
        <v>5</v>
      </c>
      <c r="H53" s="1494">
        <v>4</v>
      </c>
      <c r="I53" s="1494">
        <v>3</v>
      </c>
      <c r="J53" s="1494">
        <v>2</v>
      </c>
      <c r="K53" s="1494"/>
      <c r="L53" s="1494"/>
      <c r="M53" s="1494"/>
      <c r="N53" s="1494"/>
      <c r="O53" s="1494"/>
      <c r="P53" s="1494"/>
      <c r="Q53" s="1494"/>
      <c r="R53" s="1494"/>
      <c r="S53" s="1494"/>
      <c r="T53" s="1494"/>
      <c r="U53" s="1494"/>
      <c r="V53" s="1494"/>
      <c r="W53" s="1494"/>
      <c r="X53" s="1494"/>
      <c r="Y53" s="1494"/>
      <c r="Z53" s="1494"/>
      <c r="AA53" s="1494"/>
      <c r="AB53" s="1494"/>
      <c r="AC53" s="1494"/>
      <c r="AD53" s="1494"/>
      <c r="AE53" s="1494"/>
      <c r="AF53" s="1494"/>
      <c r="AG53" s="1494"/>
      <c r="AH53" s="1494"/>
      <c r="AI53" s="1494"/>
      <c r="AJ53" s="1494"/>
      <c r="AK53" s="1494"/>
      <c r="AL53" s="1494"/>
      <c r="AM53" s="1494"/>
      <c r="AN53" s="1494"/>
      <c r="AO53" s="1494"/>
      <c r="AP53" s="1494"/>
      <c r="AQ53" s="1494"/>
      <c r="AR53" s="1494"/>
      <c r="AS53" s="1494"/>
      <c r="AT53" s="1494"/>
      <c r="AU53" s="1494"/>
      <c r="AV53" s="1494"/>
      <c r="AW53" s="1494"/>
    </row>
    <row r="54" spans="1:49">
      <c r="A54" s="1494"/>
      <c r="B54" s="1494"/>
      <c r="C54" s="1494"/>
      <c r="D54" s="1494"/>
      <c r="E54" s="1494"/>
      <c r="F54" s="1494"/>
      <c r="G54" s="1494"/>
      <c r="H54" s="1494"/>
      <c r="I54" s="1494"/>
      <c r="J54" s="1494"/>
      <c r="K54" s="1494"/>
      <c r="L54" s="1494"/>
      <c r="M54" s="1494"/>
      <c r="N54" s="1494"/>
      <c r="O54" s="1494"/>
      <c r="P54" s="1494"/>
      <c r="Q54" s="1494"/>
      <c r="R54" s="1494"/>
      <c r="S54" s="1494"/>
      <c r="T54" s="1494"/>
      <c r="U54" s="1494"/>
      <c r="V54" s="1494"/>
      <c r="W54" s="1494"/>
      <c r="X54" s="1494"/>
      <c r="Y54" s="1494"/>
      <c r="Z54" s="1494"/>
      <c r="AA54" s="1494"/>
      <c r="AB54" s="1494"/>
      <c r="AC54" s="1494"/>
      <c r="AD54" s="1494"/>
      <c r="AE54" s="1494"/>
      <c r="AF54" s="1494"/>
      <c r="AG54" s="1494"/>
      <c r="AH54" s="1494"/>
      <c r="AI54" s="1494"/>
      <c r="AJ54" s="1494"/>
      <c r="AK54" s="1494"/>
      <c r="AL54" s="1494"/>
      <c r="AM54" s="1494"/>
      <c r="AN54" s="1494"/>
      <c r="AO54" s="1494"/>
      <c r="AP54" s="1494"/>
      <c r="AQ54" s="1494"/>
      <c r="AR54" s="1494"/>
      <c r="AS54" s="1494"/>
      <c r="AT54" s="1494"/>
      <c r="AU54" s="1494"/>
      <c r="AV54" s="1494"/>
      <c r="AW54" s="1494"/>
    </row>
    <row r="55" spans="1:49">
      <c r="A55" s="1494"/>
      <c r="B55" s="1494"/>
      <c r="C55" s="1494"/>
      <c r="D55" s="1777" t="s">
        <v>959</v>
      </c>
      <c r="E55" s="1494"/>
      <c r="F55" s="1494"/>
      <c r="G55" s="1494"/>
      <c r="H55" s="1494"/>
      <c r="I55" s="1494"/>
      <c r="J55" s="1494"/>
      <c r="K55" s="409"/>
      <c r="L55" s="1494"/>
      <c r="M55" s="1494"/>
      <c r="N55" s="1494"/>
      <c r="O55" s="1494"/>
      <c r="P55" s="1494"/>
      <c r="Q55" s="1494"/>
      <c r="R55" s="1494"/>
      <c r="S55" s="1494"/>
      <c r="T55" s="1494"/>
      <c r="U55" s="1494"/>
      <c r="V55" s="1494"/>
      <c r="W55" s="1494"/>
      <c r="X55" s="1494"/>
      <c r="Y55" s="1494"/>
      <c r="Z55" s="1494"/>
      <c r="AA55" s="1494"/>
      <c r="AB55" s="1494"/>
      <c r="AC55" s="1494"/>
      <c r="AD55" s="1494"/>
      <c r="AE55" s="1494"/>
      <c r="AF55" s="1494"/>
      <c r="AG55" s="1494"/>
      <c r="AH55" s="1494"/>
      <c r="AI55" s="1494"/>
      <c r="AJ55" s="1494"/>
      <c r="AK55" s="1494"/>
      <c r="AL55" s="1494"/>
      <c r="AM55" s="1494"/>
      <c r="AN55" s="1494"/>
      <c r="AO55" s="1494"/>
      <c r="AP55" s="1494"/>
      <c r="AQ55" s="1494"/>
      <c r="AR55" s="1494"/>
      <c r="AS55" s="1494"/>
      <c r="AT55" s="1494"/>
      <c r="AU55" s="1494"/>
      <c r="AV55" s="1494"/>
      <c r="AW55" s="1494"/>
    </row>
    <row r="56" spans="1:49">
      <c r="A56" s="1494"/>
      <c r="B56" s="1494"/>
      <c r="C56" s="1494"/>
      <c r="D56" s="1777" t="s">
        <v>960</v>
      </c>
      <c r="E56" s="1494"/>
      <c r="F56" s="1494"/>
      <c r="G56" s="1494"/>
      <c r="H56" s="1494"/>
      <c r="I56" s="1494"/>
      <c r="J56" s="1494"/>
      <c r="K56" s="1494"/>
      <c r="L56" s="1494"/>
      <c r="M56" s="1494"/>
      <c r="N56" s="1494"/>
      <c r="O56" s="1494"/>
      <c r="P56" s="1494"/>
      <c r="Q56" s="1494"/>
      <c r="R56" s="1494"/>
      <c r="S56" s="1494"/>
      <c r="T56" s="1494"/>
      <c r="U56" s="1494"/>
      <c r="V56" s="1494"/>
      <c r="W56" s="1494"/>
      <c r="X56" s="1494"/>
      <c r="Y56" s="1494"/>
      <c r="Z56" s="1494"/>
      <c r="AA56" s="1494"/>
      <c r="AB56" s="1494"/>
      <c r="AC56" s="1494"/>
      <c r="AD56" s="1494"/>
      <c r="AE56" s="1494"/>
      <c r="AF56" s="1494"/>
      <c r="AG56" s="1494"/>
      <c r="AH56" s="1494"/>
      <c r="AI56" s="1494"/>
      <c r="AJ56" s="1494"/>
      <c r="AK56" s="1494"/>
      <c r="AL56" s="1494"/>
      <c r="AM56" s="1494"/>
      <c r="AN56" s="1494"/>
      <c r="AO56" s="1494"/>
      <c r="AP56" s="1494"/>
      <c r="AQ56" s="1494"/>
      <c r="AR56" s="1494"/>
      <c r="AS56" s="1494"/>
      <c r="AT56" s="1494"/>
      <c r="AU56" s="1494"/>
      <c r="AV56" s="1494"/>
      <c r="AW56" s="1494"/>
    </row>
    <row r="57" spans="1:49">
      <c r="A57" s="1494"/>
      <c r="B57" s="1494"/>
      <c r="C57" s="1494"/>
      <c r="D57" s="1494"/>
      <c r="E57" s="1494"/>
      <c r="F57" s="1494"/>
      <c r="G57" s="1494"/>
      <c r="H57" s="1494"/>
      <c r="I57" s="1494"/>
      <c r="J57" s="1494"/>
      <c r="K57" s="1494"/>
      <c r="L57" s="1494"/>
      <c r="M57" s="1494"/>
      <c r="N57" s="1494"/>
      <c r="O57" s="1494"/>
      <c r="P57" s="1494"/>
      <c r="Q57" s="1494"/>
      <c r="R57" s="1494"/>
      <c r="S57" s="1494"/>
      <c r="T57" s="1494"/>
      <c r="U57" s="1494"/>
      <c r="V57" s="1494"/>
      <c r="W57" s="1494"/>
      <c r="X57" s="1494"/>
      <c r="Y57" s="1494"/>
      <c r="Z57" s="1494"/>
      <c r="AA57" s="1494"/>
      <c r="AB57" s="1494"/>
      <c r="AC57" s="1494"/>
      <c r="AD57" s="1494"/>
      <c r="AE57" s="1494"/>
      <c r="AF57" s="1494"/>
      <c r="AG57" s="1494"/>
      <c r="AH57" s="1494"/>
      <c r="AI57" s="1494"/>
      <c r="AJ57" s="1494"/>
      <c r="AK57" s="1494"/>
      <c r="AL57" s="1494"/>
      <c r="AM57" s="1494"/>
      <c r="AN57" s="1494"/>
      <c r="AO57" s="1494"/>
      <c r="AP57" s="1494"/>
      <c r="AQ57" s="1494"/>
      <c r="AR57" s="1494"/>
      <c r="AS57" s="1494"/>
      <c r="AT57" s="1494"/>
      <c r="AU57" s="1494"/>
      <c r="AV57" s="1494"/>
      <c r="AW57" s="1494"/>
    </row>
    <row r="58" spans="1:49" s="1737" customFormat="1">
      <c r="A58" s="1713" t="s">
        <v>961</v>
      </c>
      <c r="N58" s="1738"/>
      <c r="O58" s="1738"/>
      <c r="P58" s="1738"/>
      <c r="Q58" s="1738"/>
      <c r="R58" s="1738"/>
      <c r="S58" s="1738"/>
      <c r="T58" s="1738"/>
      <c r="U58" s="1739"/>
      <c r="V58" s="1739"/>
      <c r="W58" s="1739"/>
      <c r="X58" s="1739"/>
      <c r="Y58" s="1739"/>
      <c r="Z58" s="1739"/>
      <c r="AA58" s="1739"/>
      <c r="AB58" s="1739"/>
      <c r="AC58" s="1739"/>
      <c r="AD58" s="1739"/>
      <c r="AE58" s="1739"/>
      <c r="AF58" s="1739"/>
      <c r="AG58" s="1739"/>
      <c r="AH58" s="1739"/>
      <c r="AI58" s="1739"/>
      <c r="AJ58" s="1739"/>
      <c r="AK58" s="1739"/>
      <c r="AL58" s="1739"/>
      <c r="AM58" s="1739"/>
      <c r="AN58" s="1739"/>
      <c r="AO58" s="1739"/>
      <c r="AP58" s="1739"/>
      <c r="AQ58" s="1739"/>
      <c r="AR58" s="1739"/>
      <c r="AS58" s="1739"/>
      <c r="AT58" s="1739"/>
      <c r="AU58" s="1739"/>
    </row>
    <row r="60" spans="1:49" ht="13.5" thickBot="1">
      <c r="B60" s="2241" t="s">
        <v>962</v>
      </c>
      <c r="C60" s="2241"/>
      <c r="D60" s="2241"/>
      <c r="E60" s="2241"/>
      <c r="F60" s="2241"/>
      <c r="G60" s="2241"/>
    </row>
    <row r="61" spans="1:49">
      <c r="B61" s="1778" t="s">
        <v>963</v>
      </c>
      <c r="C61" s="1779"/>
      <c r="D61" s="1779"/>
      <c r="E61" s="1779"/>
      <c r="F61" s="1779">
        <f>'Summary of revenue'!J11</f>
        <v>253.35650699999999</v>
      </c>
      <c r="G61" s="1780">
        <f>F61/$F$66</f>
        <v>0.97119486625510509</v>
      </c>
      <c r="K61" s="1781"/>
      <c r="L61" s="1781"/>
      <c r="M61" s="1782"/>
      <c r="N61" s="1783"/>
      <c r="O61" s="1783"/>
      <c r="P61" s="1784" t="s">
        <v>223</v>
      </c>
      <c r="Q61" s="1784" t="s">
        <v>964</v>
      </c>
      <c r="R61" s="1784" t="s">
        <v>965</v>
      </c>
    </row>
    <row r="62" spans="1:49">
      <c r="B62" s="1785" t="s">
        <v>966</v>
      </c>
      <c r="C62" s="1786"/>
      <c r="D62" s="1786"/>
      <c r="E62" s="1786"/>
      <c r="F62" s="1786">
        <f>'Summary of revenue'!J12</f>
        <v>-3.0408849999999998</v>
      </c>
      <c r="G62" s="1787">
        <f>F62/$F$66</f>
        <v>-1.1656664894232043E-2</v>
      </c>
      <c r="K62" s="1781"/>
      <c r="L62" s="1781"/>
      <c r="M62" s="1788"/>
      <c r="N62" s="1767"/>
      <c r="O62" s="1767"/>
      <c r="P62" s="1789"/>
      <c r="Q62" s="1789"/>
      <c r="R62" s="1789"/>
    </row>
    <row r="63" spans="1:49">
      <c r="B63" s="1785" t="s">
        <v>967</v>
      </c>
      <c r="C63" s="1786"/>
      <c r="D63" s="1786"/>
      <c r="E63" s="1786"/>
      <c r="F63" s="1786">
        <f>'Summary of revenue'!J13</f>
        <v>11.735621999999999</v>
      </c>
      <c r="G63" s="1787">
        <f>F63/$F$66</f>
        <v>4.4986315819038614E-2</v>
      </c>
      <c r="K63" s="1781"/>
      <c r="L63" s="1781"/>
      <c r="M63" s="1788" t="s">
        <v>968</v>
      </c>
      <c r="N63" s="1767"/>
      <c r="O63" s="1767"/>
      <c r="P63" s="1790">
        <f>F66</f>
        <v>260.87092899999999</v>
      </c>
      <c r="Q63" s="1790">
        <f>'Calc-Allocation'!G68</f>
        <v>4.0999999612767226</v>
      </c>
      <c r="R63" s="1790">
        <f>P63-Q63</f>
        <v>256.77092903872324</v>
      </c>
    </row>
    <row r="64" spans="1:49">
      <c r="B64" s="1791" t="s">
        <v>969</v>
      </c>
      <c r="C64" s="1786"/>
      <c r="D64" s="1786"/>
      <c r="E64" s="1786"/>
      <c r="F64" s="1786">
        <f>'Summary of revenue'!J21</f>
        <v>-10.380315</v>
      </c>
      <c r="G64" s="1787">
        <f>F64/$F$66</f>
        <v>-3.9790999479286555E-2</v>
      </c>
      <c r="K64" s="1781"/>
      <c r="L64" s="1781"/>
      <c r="M64" s="1788"/>
      <c r="N64" s="1767"/>
      <c r="O64" s="1767"/>
      <c r="P64" s="1790"/>
      <c r="Q64" s="1790"/>
      <c r="R64" s="1790"/>
    </row>
    <row r="65" spans="2:19" ht="14.25">
      <c r="B65" s="1785" t="s">
        <v>970</v>
      </c>
      <c r="C65" s="1786"/>
      <c r="D65" s="1786"/>
      <c r="E65" s="1786"/>
      <c r="F65" s="1786">
        <f>'Summary of revenue'!J46+'Summary of revenue'!J47</f>
        <v>9.1999999999999993</v>
      </c>
      <c r="G65" s="1787">
        <f>F65/$F$66</f>
        <v>3.526648229937495E-2</v>
      </c>
      <c r="K65" s="1781"/>
      <c r="L65" s="1781"/>
      <c r="M65" s="1788" t="s">
        <v>971</v>
      </c>
      <c r="N65" s="1767"/>
      <c r="O65" s="1792"/>
      <c r="P65" s="1790">
        <f>-F63</f>
        <v>-11.735621999999999</v>
      </c>
      <c r="Q65" s="1790">
        <f>Q$63*P65/P$63</f>
        <v>-0.18444389311604073</v>
      </c>
      <c r="R65" s="1790">
        <f>P65-Q65</f>
        <v>-11.551178106883958</v>
      </c>
    </row>
    <row r="66" spans="2:19" ht="13.5" thickBot="1">
      <c r="B66" s="1793" t="s">
        <v>220</v>
      </c>
      <c r="C66" s="1794"/>
      <c r="D66" s="1794"/>
      <c r="E66" s="1794"/>
      <c r="F66" s="1794">
        <f>SUM(F61:F65)</f>
        <v>260.87092899999999</v>
      </c>
      <c r="G66" s="1795">
        <f>SUM(G61:G65)</f>
        <v>1.0000000000000002</v>
      </c>
      <c r="K66" s="1781"/>
      <c r="L66" s="1781"/>
      <c r="M66" s="1788" t="s">
        <v>1013</v>
      </c>
      <c r="N66" s="1767"/>
      <c r="O66" s="1767"/>
      <c r="P66" s="1790">
        <f>-'Calc-Opex'!I37</f>
        <v>-9.0830000000000002</v>
      </c>
      <c r="Q66" s="1790">
        <f>Q$63*P66/P$63</f>
        <v>-0.14275373569232189</v>
      </c>
      <c r="R66" s="1790">
        <f>P66-Q66</f>
        <v>-8.9402462643076781</v>
      </c>
    </row>
    <row r="67" spans="2:19" ht="15" thickBot="1">
      <c r="K67" s="1781"/>
      <c r="L67" s="1781"/>
      <c r="M67" s="1788"/>
      <c r="N67" s="1767"/>
      <c r="O67" s="1792"/>
      <c r="P67" s="1790"/>
      <c r="Q67" s="1790"/>
      <c r="R67" s="1790"/>
    </row>
    <row r="68" spans="2:19" ht="18.75" thickBot="1">
      <c r="B68" s="1796" t="s">
        <v>998</v>
      </c>
      <c r="C68" s="1797"/>
      <c r="D68" s="1797"/>
      <c r="E68" s="1797"/>
      <c r="F68" s="1797"/>
      <c r="G68" s="1798">
        <f>(('Summary of revenue'!J11+'Summary of revenue'!J63)/'Summary of revenue'!J62)-'Summary of revenue'!J61</f>
        <v>4.0999999612767226</v>
      </c>
      <c r="K68" s="1781"/>
      <c r="L68" s="1781"/>
      <c r="M68" s="1788" t="s">
        <v>972</v>
      </c>
      <c r="N68" s="1767"/>
      <c r="O68" s="1792"/>
      <c r="P68" s="1790">
        <f>-SUM(P65:P67)</f>
        <v>20.818621999999998</v>
      </c>
      <c r="Q68" s="1790">
        <f>-SUM(Q65:Q67)</f>
        <v>0.32719762880836262</v>
      </c>
      <c r="R68" s="1790">
        <f>P68-Q68</f>
        <v>20.491424371191634</v>
      </c>
    </row>
    <row r="69" spans="2:19" ht="13.5" thickBot="1">
      <c r="K69" s="1781"/>
      <c r="L69" s="1781"/>
      <c r="M69" s="1799" t="s">
        <v>973</v>
      </c>
      <c r="N69" s="1800"/>
      <c r="O69" s="1800"/>
      <c r="P69" s="1801">
        <f>SUM(P63:P67)</f>
        <v>240.05230699999998</v>
      </c>
      <c r="Q69" s="1801">
        <f>SUM(Q63:Q67)</f>
        <v>3.7728023324683599</v>
      </c>
      <c r="R69" s="1790">
        <f>P69-Q69</f>
        <v>236.27950466753163</v>
      </c>
    </row>
    <row r="70" spans="2:19">
      <c r="B70" s="1494" t="s">
        <v>1018</v>
      </c>
      <c r="C70" s="1494"/>
      <c r="D70" s="1494"/>
      <c r="E70" s="1494"/>
      <c r="F70" s="1494"/>
      <c r="G70" s="1494">
        <f>(SUM('FBPQ LR1'!D13:M13)-MIN(0,'Calc-Net capex'!C19)-MIN(0,'Calc-Net capex'!C20)-MIN(0,'Calc-Net capex'!C21+'Calc-Net capex'!C22))/10</f>
        <v>9.1239190159670791</v>
      </c>
      <c r="H70" s="1494"/>
      <c r="I70" s="1494"/>
      <c r="J70" s="1494"/>
      <c r="K70" s="1494"/>
      <c r="L70" s="1494"/>
      <c r="M70" s="1494"/>
      <c r="N70" s="1494"/>
      <c r="O70" s="1494"/>
      <c r="P70" s="1494"/>
      <c r="Q70" s="1494"/>
      <c r="R70" s="1494"/>
    </row>
    <row r="71" spans="2:19" s="1564" customFormat="1" ht="39" customHeight="1" thickBot="1">
      <c r="D71" s="2242"/>
      <c r="E71" s="2243"/>
      <c r="F71" s="2243"/>
      <c r="G71" s="2243"/>
      <c r="H71" s="2243"/>
      <c r="I71" s="2243"/>
      <c r="J71" s="2243"/>
      <c r="K71" s="2244"/>
      <c r="L71" s="2242" t="s">
        <v>974</v>
      </c>
      <c r="M71" s="2243"/>
      <c r="N71" s="2243"/>
      <c r="O71" s="2243"/>
      <c r="P71" s="2243"/>
      <c r="Q71" s="2243"/>
      <c r="R71" s="2244"/>
    </row>
    <row r="72" spans="2:19">
      <c r="B72" s="1802" t="s">
        <v>975</v>
      </c>
      <c r="C72" s="1783"/>
      <c r="D72" s="2232" t="s">
        <v>223</v>
      </c>
      <c r="E72" s="2233"/>
      <c r="F72" s="2233"/>
      <c r="G72" s="2233"/>
      <c r="H72" s="2233"/>
      <c r="I72" s="2233"/>
      <c r="J72" s="2233"/>
      <c r="K72" s="1783"/>
      <c r="L72" s="2232" t="s">
        <v>976</v>
      </c>
      <c r="M72" s="2234"/>
      <c r="N72" s="2234"/>
      <c r="O72" s="2234"/>
      <c r="P72" s="2234"/>
      <c r="Q72" s="2233"/>
      <c r="R72" s="2235"/>
    </row>
    <row r="73" spans="2:19">
      <c r="B73" s="1788"/>
      <c r="C73" s="1767"/>
      <c r="D73" s="1803" t="s">
        <v>220</v>
      </c>
      <c r="E73" s="1803"/>
      <c r="F73" s="1803" t="s">
        <v>427</v>
      </c>
      <c r="G73" s="1803" t="s">
        <v>245</v>
      </c>
      <c r="H73" s="1803" t="s">
        <v>53</v>
      </c>
      <c r="I73" s="1803" t="s">
        <v>244</v>
      </c>
      <c r="J73" s="1803" t="s">
        <v>977</v>
      </c>
      <c r="K73" s="1804"/>
      <c r="L73" s="1805" t="s">
        <v>427</v>
      </c>
      <c r="M73" s="1806" t="s">
        <v>245</v>
      </c>
      <c r="N73" s="1806" t="s">
        <v>53</v>
      </c>
      <c r="O73" s="1806" t="s">
        <v>466</v>
      </c>
      <c r="P73" s="1803" t="s">
        <v>977</v>
      </c>
      <c r="Q73" s="1803"/>
      <c r="R73" s="1803" t="s">
        <v>220</v>
      </c>
      <c r="S73" s="1807" t="s">
        <v>891</v>
      </c>
    </row>
    <row r="74" spans="2:19">
      <c r="B74" s="1788"/>
      <c r="C74" s="1767"/>
      <c r="D74" s="1788"/>
      <c r="E74" s="1767"/>
      <c r="F74" s="1767"/>
      <c r="G74" s="1767"/>
      <c r="H74" s="1767"/>
      <c r="I74" s="1767"/>
      <c r="J74" s="1767"/>
      <c r="K74" s="1767"/>
      <c r="L74" s="1808"/>
      <c r="M74" s="1769"/>
      <c r="N74" s="1769"/>
      <c r="O74" s="1769"/>
      <c r="P74" s="1768"/>
      <c r="Q74" s="1768"/>
      <c r="R74" s="1768"/>
      <c r="S74" s="1789"/>
    </row>
    <row r="75" spans="2:19">
      <c r="B75" s="1788" t="s">
        <v>978</v>
      </c>
      <c r="C75" s="1767"/>
      <c r="D75" s="1809">
        <f>SUM(F75:J75)</f>
        <v>265.89484805469033</v>
      </c>
      <c r="E75" s="1767"/>
      <c r="F75" s="1810">
        <f>$R$69*K52+$G70*E49</f>
        <v>89.013283550583239</v>
      </c>
      <c r="G75" s="1810">
        <f>$R$69*L52+$G70*G49</f>
        <v>58.30104850806142</v>
      </c>
      <c r="H75" s="1810">
        <f>$R$69*M52+$G70*H49</f>
        <v>20.839470016017867</v>
      </c>
      <c r="I75" s="1810">
        <f>$R$69*(N52+O52)+$G70*(I49+J49)</f>
        <v>77.249621608836208</v>
      </c>
      <c r="J75" s="1811">
        <f>R68</f>
        <v>20.491424371191634</v>
      </c>
      <c r="K75" s="1767"/>
      <c r="L75" s="1812">
        <f>F75*100000000/'Calc-Units'!E23</f>
        <v>0.3513652339988016</v>
      </c>
      <c r="M75" s="1813">
        <f>G75*100000000/'Calc-Units'!D23</f>
        <v>0.24319744376834898</v>
      </c>
      <c r="N75" s="1813">
        <f>H75*100000000/'Calc-Units'!C23</f>
        <v>0.12266665498842093</v>
      </c>
      <c r="O75" s="1813">
        <f>I75*100000000/'Calc-Units'!C23</f>
        <v>0.4547117884760824</v>
      </c>
      <c r="P75" s="1813">
        <f>J75*100000000/'Calc-Units'!E23</f>
        <v>8.0886513023205042E-2</v>
      </c>
      <c r="Q75" s="1768"/>
      <c r="R75" s="1813"/>
      <c r="S75" s="1814"/>
    </row>
    <row r="76" spans="2:19">
      <c r="B76" s="1788"/>
      <c r="C76" s="1767"/>
      <c r="D76" s="1788"/>
      <c r="E76" s="1767"/>
      <c r="F76" s="1767"/>
      <c r="G76" s="1767"/>
      <c r="H76" s="1767"/>
      <c r="I76" s="1767"/>
      <c r="J76" s="1767"/>
      <c r="K76" s="1767"/>
      <c r="L76" s="1808"/>
      <c r="M76" s="1769"/>
      <c r="N76" s="1769"/>
      <c r="O76" s="1769"/>
      <c r="P76" s="1769"/>
      <c r="Q76" s="1768"/>
      <c r="R76" s="1768"/>
      <c r="S76" s="1789"/>
    </row>
    <row r="77" spans="2:19">
      <c r="B77" s="1788" t="s">
        <v>979</v>
      </c>
      <c r="C77" s="1767"/>
      <c r="D77" s="1788"/>
      <c r="E77" s="1767"/>
      <c r="F77" s="1767"/>
      <c r="G77" s="1767"/>
      <c r="H77" s="1767"/>
      <c r="I77" s="1767"/>
      <c r="J77" s="1767"/>
      <c r="K77" s="1767"/>
      <c r="L77" s="1812">
        <f>L75</f>
        <v>0.3513652339988016</v>
      </c>
      <c r="M77" s="1813">
        <f>M75</f>
        <v>0.24319744376834898</v>
      </c>
      <c r="N77" s="1813">
        <f>N75</f>
        <v>0.12266665498842093</v>
      </c>
      <c r="O77" s="1813">
        <f>O75</f>
        <v>0.4547117884760824</v>
      </c>
      <c r="P77" s="1813">
        <f>P75</f>
        <v>8.0886513023205042E-2</v>
      </c>
      <c r="Q77" s="1768"/>
      <c r="R77" s="1815">
        <f>SUM(L77:P77)</f>
        <v>1.252827634254859</v>
      </c>
      <c r="S77" s="1816"/>
    </row>
    <row r="78" spans="2:19">
      <c r="B78" s="1788" t="s">
        <v>980</v>
      </c>
      <c r="C78" s="1767"/>
      <c r="D78" s="1788"/>
      <c r="E78" s="1767"/>
      <c r="F78" s="1767"/>
      <c r="G78" s="1767"/>
      <c r="H78" s="1767"/>
      <c r="I78" s="1767"/>
      <c r="J78" s="1767"/>
      <c r="K78" s="1767"/>
      <c r="L78" s="1812"/>
      <c r="M78" s="1813"/>
      <c r="N78" s="1813"/>
      <c r="O78" s="1769"/>
      <c r="P78" s="1813"/>
      <c r="Q78" s="1768"/>
      <c r="R78" s="1815"/>
      <c r="S78" s="1816"/>
    </row>
    <row r="79" spans="2:19">
      <c r="B79" s="1788" t="s">
        <v>981</v>
      </c>
      <c r="C79" s="1767"/>
      <c r="D79" s="1788"/>
      <c r="E79" s="1767"/>
      <c r="F79" s="1767"/>
      <c r="G79" s="1767"/>
      <c r="H79" s="1767"/>
      <c r="I79" s="1767"/>
      <c r="J79" s="1767"/>
      <c r="K79" s="1767"/>
      <c r="L79" s="1812"/>
      <c r="M79" s="1769"/>
      <c r="N79" s="1769"/>
      <c r="O79" s="1769"/>
      <c r="P79" s="1813"/>
      <c r="Q79" s="1768"/>
      <c r="R79" s="1815"/>
      <c r="S79" s="1816"/>
    </row>
    <row r="80" spans="2:19">
      <c r="B80" s="1788"/>
      <c r="C80" s="1767"/>
      <c r="D80" s="1788"/>
      <c r="E80" s="1767"/>
      <c r="F80" s="1767"/>
      <c r="G80" s="1767"/>
      <c r="H80" s="1767"/>
      <c r="I80" s="1767"/>
      <c r="J80" s="1767"/>
      <c r="K80" s="1767"/>
      <c r="L80" s="1808"/>
      <c r="M80" s="1769"/>
      <c r="N80" s="1769"/>
      <c r="O80" s="1769"/>
      <c r="P80" s="1769"/>
      <c r="Q80" s="1768"/>
      <c r="R80" s="1768"/>
      <c r="S80" s="1789"/>
    </row>
    <row r="81" spans="2:20">
      <c r="B81" s="1788" t="s">
        <v>979</v>
      </c>
      <c r="C81" s="1767"/>
      <c r="D81" s="1788"/>
      <c r="E81" s="1767"/>
      <c r="F81" s="1767"/>
      <c r="G81" s="1767"/>
      <c r="H81" s="1767"/>
      <c r="I81" s="1767"/>
      <c r="J81" s="1767"/>
      <c r="K81" s="1767"/>
      <c r="L81" s="1817">
        <f>L77/$R77</f>
        <v>0.28045776162000302</v>
      </c>
      <c r="M81" s="1818">
        <f>M77/$R77</f>
        <v>0.19411883735546342</v>
      </c>
      <c r="N81" s="1818">
        <f>N77/$R77</f>
        <v>9.7911836899558055E-2</v>
      </c>
      <c r="O81" s="1818">
        <f>$O77/$R77*$N52/($N52+$O52)</f>
        <v>0.23635305597469602</v>
      </c>
      <c r="P81" s="1818">
        <f>P77/$R77</f>
        <v>6.4563161612661665E-2</v>
      </c>
      <c r="Q81" s="1819"/>
      <c r="R81" s="1820">
        <f>SUM(L81:P81) + S81</f>
        <v>0.99999999999999989</v>
      </c>
      <c r="S81" s="1821">
        <f>$O77/$R77*$O52/($N52+$O52)</f>
        <v>0.12659534653761775</v>
      </c>
      <c r="T81" s="409"/>
    </row>
    <row r="82" spans="2:20">
      <c r="B82" s="1788" t="s">
        <v>980</v>
      </c>
      <c r="C82" s="1767"/>
      <c r="D82" s="1788"/>
      <c r="E82" s="1767"/>
      <c r="F82" s="1767"/>
      <c r="G82" s="1767"/>
      <c r="H82" s="1767"/>
      <c r="I82" s="1767"/>
      <c r="J82" s="1767"/>
      <c r="K82" s="1767"/>
      <c r="L82" s="1822"/>
      <c r="M82" s="1823"/>
      <c r="N82" s="1823"/>
      <c r="O82" s="1823"/>
      <c r="P82" s="1823"/>
      <c r="Q82" s="1824"/>
      <c r="R82" s="1824"/>
      <c r="S82" s="1825"/>
    </row>
    <row r="83" spans="2:20" ht="13.5" thickBot="1">
      <c r="B83" s="1799" t="s">
        <v>981</v>
      </c>
      <c r="C83" s="1800"/>
      <c r="D83" s="1799"/>
      <c r="E83" s="1800"/>
      <c r="F83" s="1800"/>
      <c r="G83" s="1800"/>
      <c r="H83" s="1800"/>
      <c r="I83" s="1800"/>
      <c r="J83" s="1800"/>
      <c r="K83" s="1800"/>
      <c r="L83" s="1826"/>
      <c r="M83" s="1827"/>
      <c r="N83" s="1827"/>
      <c r="O83" s="1827"/>
      <c r="P83" s="1827"/>
      <c r="Q83" s="1828"/>
      <c r="R83" s="1828"/>
      <c r="S83" s="1829"/>
    </row>
  </sheetData>
  <sheetProtection sheet="1" objects="1" scenarios="1"/>
  <mergeCells count="8">
    <mergeCell ref="D72:J72"/>
    <mergeCell ref="L72:R72"/>
    <mergeCell ref="E45:I45"/>
    <mergeCell ref="K45:N45"/>
    <mergeCell ref="P45:T45"/>
    <mergeCell ref="B60:G60"/>
    <mergeCell ref="D71:K71"/>
    <mergeCell ref="L71:R71"/>
  </mergeCells>
  <phoneticPr fontId="2" type="noConversion"/>
  <pageMargins left="0.75" right="0.75" top="1" bottom="1" header="0.5" footer="0.5"/>
  <pageSetup paperSize="9" scale="3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C4"/>
    <pageSetUpPr fitToPage="1"/>
  </sheetPr>
  <dimension ref="A1:G13"/>
  <sheetViews>
    <sheetView showGridLines="0" workbookViewId="0">
      <selection activeCell="G26" sqref="G26"/>
    </sheetView>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Electricity North West in 2016/17  Status: 2007/08</v>
      </c>
    </row>
    <row r="3" spans="1:7" ht="14.1" customHeight="1">
      <c r="A3" s="1830" t="s">
        <v>908</v>
      </c>
      <c r="B3" s="2245" t="s">
        <v>982</v>
      </c>
      <c r="C3" s="2245"/>
      <c r="D3" s="2245"/>
      <c r="E3" s="2245"/>
      <c r="F3" s="2245"/>
      <c r="G3" s="2245"/>
    </row>
    <row r="4" spans="1:7" ht="14.1" customHeight="1">
      <c r="A4" s="1831"/>
      <c r="B4" s="1832" t="s">
        <v>891</v>
      </c>
      <c r="C4" s="1833" t="s">
        <v>466</v>
      </c>
      <c r="D4" s="1834" t="s">
        <v>550</v>
      </c>
      <c r="E4" s="1833" t="s">
        <v>245</v>
      </c>
      <c r="F4" s="1833" t="s">
        <v>427</v>
      </c>
      <c r="G4" s="1835" t="s">
        <v>983</v>
      </c>
    </row>
    <row r="5" spans="1:7" ht="14.1" customHeight="1">
      <c r="A5" s="1836" t="s">
        <v>984</v>
      </c>
      <c r="B5" s="1837">
        <f>'Calc-Allocation'!J49</f>
        <v>0.21430983958426508</v>
      </c>
      <c r="C5" s="1838">
        <f>'Calc-Allocation'!I49</f>
        <v>0.2411171252380542</v>
      </c>
      <c r="D5" s="1838">
        <f>'Calc-Allocation'!H49</f>
        <v>8.6592626462538388E-2</v>
      </c>
      <c r="E5" s="1838">
        <f>'Calc-Allocation'!G49</f>
        <v>0.21759279496501685</v>
      </c>
      <c r="F5" s="1838">
        <f>'Calc-Allocation'!E49</f>
        <v>0.24038761375012538</v>
      </c>
      <c r="G5" s="1839" t="s">
        <v>985</v>
      </c>
    </row>
    <row r="6" spans="1:7" ht="14.1" customHeight="1">
      <c r="A6" s="1836" t="s">
        <v>69</v>
      </c>
      <c r="B6" s="1840">
        <f>'Calc-Allocation'!J47</f>
        <v>5.9218898519723409E-2</v>
      </c>
      <c r="C6" s="1841">
        <f>'Calc-Allocation'!I48</f>
        <v>0.18330616138983297</v>
      </c>
      <c r="D6" s="1841">
        <f>'Calc-Allocation'!H48</f>
        <v>8.4059440608810432E-2</v>
      </c>
      <c r="E6" s="1841">
        <f>'Calc-Allocation'!G48</f>
        <v>0.24783772180962821</v>
      </c>
      <c r="F6" s="1841">
        <f>'Calc-Allocation'!E48</f>
        <v>0.425577777672005</v>
      </c>
      <c r="G6" s="1842" t="s">
        <v>985</v>
      </c>
    </row>
    <row r="7" spans="1:7" ht="14.1" customHeight="1">
      <c r="A7" s="1843" t="s">
        <v>942</v>
      </c>
      <c r="B7" s="1844">
        <f>'Calc-Allocation'!J48</f>
        <v>5.9218898519723409E-2</v>
      </c>
      <c r="C7" s="1845">
        <f>'Calc-Allocation'!I47</f>
        <v>0.18330616138983297</v>
      </c>
      <c r="D7" s="1845">
        <f>'Calc-Allocation'!H47</f>
        <v>8.4059440608810432E-2</v>
      </c>
      <c r="E7" s="1845">
        <f>'Calc-Allocation'!G47</f>
        <v>0.24783772180962821</v>
      </c>
      <c r="F7" s="1845">
        <f>'Calc-Allocation'!E47</f>
        <v>0.425577777672005</v>
      </c>
      <c r="G7" s="1846" t="s">
        <v>985</v>
      </c>
    </row>
    <row r="8" spans="1:7" ht="14.1" customHeight="1">
      <c r="A8" s="1847" t="s">
        <v>986</v>
      </c>
      <c r="B8" s="1848">
        <f>'Calc-Allocation'!O52</f>
        <v>0.10790226645541266</v>
      </c>
      <c r="C8" s="1849">
        <f>'Calc-Allocation'!N52</f>
        <v>0.20145314279584914</v>
      </c>
      <c r="D8" s="1850">
        <f>'Calc-Allocation'!M52</f>
        <v>8.4854612900112744E-2</v>
      </c>
      <c r="E8" s="1850">
        <f>'Calc-Allocation'!L52</f>
        <v>0.23834377656912922</v>
      </c>
      <c r="F8" s="1850">
        <f>'Calc-Allocation'!K52</f>
        <v>0.36744620127949634</v>
      </c>
      <c r="G8" s="1849" t="s">
        <v>985</v>
      </c>
    </row>
    <row r="9" spans="1:7" ht="45" customHeight="1">
      <c r="A9" s="1851" t="s">
        <v>987</v>
      </c>
      <c r="B9" s="1852">
        <f>'Calc-Allocation'!S81</f>
        <v>0.12659534653761775</v>
      </c>
      <c r="C9" s="1853">
        <f>'Calc-Allocation'!O81</f>
        <v>0.23635305597469602</v>
      </c>
      <c r="D9" s="1853">
        <f>'Calc-Allocation'!N81</f>
        <v>9.7911836899558055E-2</v>
      </c>
      <c r="E9" s="1853">
        <f>'Calc-Allocation'!M81</f>
        <v>0.19411883735546342</v>
      </c>
      <c r="F9" s="1853">
        <f>'Calc-Allocation'!L81</f>
        <v>0.28045776162000302</v>
      </c>
      <c r="G9" s="1853">
        <f>'Calc-Allocation'!P81</f>
        <v>6.4563161612661665E-2</v>
      </c>
    </row>
    <row r="10" spans="1:7" ht="14.1" customHeight="1">
      <c r="A10" s="1851" t="s">
        <v>988</v>
      </c>
      <c r="B10" s="1854">
        <f>'Calc-Opex'!AD49</f>
        <v>0.58390080725323312</v>
      </c>
      <c r="C10" s="1855">
        <f>'Calc-Opex'!AC49</f>
        <v>0.58390080725323323</v>
      </c>
      <c r="D10" s="1855">
        <f>'Calc-Opex'!AB49</f>
        <v>0.81290278206166022</v>
      </c>
      <c r="E10" s="1855">
        <f>'Calc-Opex'!AA49</f>
        <v>0.67926527721787844</v>
      </c>
      <c r="F10" s="1855">
        <f>'Calc-Opex'!Z49</f>
        <v>0.7983520109183968</v>
      </c>
      <c r="G10" s="1855" t="s">
        <v>985</v>
      </c>
    </row>
    <row r="11" spans="1:7" ht="14.1" customHeight="1">
      <c r="B11" s="1856"/>
      <c r="C11" s="1856"/>
      <c r="D11" s="1856"/>
      <c r="E11" s="1856"/>
      <c r="F11" s="1856"/>
      <c r="G11" s="1856"/>
    </row>
    <row r="12" spans="1:7" ht="30">
      <c r="A12" s="1857"/>
      <c r="B12" s="1858" t="s">
        <v>991</v>
      </c>
      <c r="C12" s="1859" t="s">
        <v>992</v>
      </c>
      <c r="D12" s="1859" t="s">
        <v>993</v>
      </c>
      <c r="E12" s="1860" t="s">
        <v>994</v>
      </c>
      <c r="F12" s="1861"/>
      <c r="G12" s="1856"/>
    </row>
    <row r="13" spans="1:7" s="1" customFormat="1" ht="14.1" customHeight="1">
      <c r="A13" s="1862" t="s">
        <v>995</v>
      </c>
      <c r="B13" s="1863">
        <f>C9*(1-C10*Inputs!B12)+B9</f>
        <v>0.35522002506221173</v>
      </c>
      <c r="C13" s="1864">
        <f>C9 +D9+(E9*(1-Inputs!B13*E10))+B9</f>
        <v>0.57718274710434725</v>
      </c>
      <c r="D13" s="1864">
        <f>(D9 + E9  *(1-Inputs!B13* E10))/(1-C9-B9)</f>
        <v>0.33629041263988746</v>
      </c>
      <c r="E13" s="1865">
        <f>E9*(1-Inputs!B13*E10)/(1-B9-C9-D9)</f>
        <v>0.21575575796076218</v>
      </c>
      <c r="F13" s="1866"/>
      <c r="G13" s="1866"/>
    </row>
  </sheetData>
  <sheetProtection sheet="1" objects="1" scenarios="1"/>
  <mergeCells count="1">
    <mergeCell ref="B3:G3"/>
  </mergeCells>
  <phoneticPr fontId="2" type="noConversion"/>
  <pageMargins left="0.75" right="0.75" top="1" bottom="1" header="0.5" footer="0.5"/>
  <pageSetup paperSize="9" scale="6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pageSetUpPr fitToPage="1"/>
  </sheetPr>
  <dimension ref="A1:H9"/>
  <sheetViews>
    <sheetView showGridLines="0" workbookViewId="0">
      <selection activeCell="F24" sqref="F24"/>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Electricity North West in 2016/17  Status: 2007/08</v>
      </c>
      <c r="B1" s="14"/>
      <c r="C1" s="14"/>
      <c r="D1" s="14"/>
      <c r="E1" s="14"/>
      <c r="F1" s="14"/>
      <c r="G1" s="14"/>
      <c r="H1" s="14"/>
    </row>
    <row r="2" spans="1:8">
      <c r="A2" s="14"/>
      <c r="B2" s="14"/>
      <c r="C2" s="14"/>
      <c r="D2" s="14"/>
      <c r="E2" s="14"/>
      <c r="F2" s="14"/>
      <c r="G2" s="14"/>
      <c r="H2" s="14"/>
    </row>
    <row r="3" spans="1:8" s="1" customFormat="1">
      <c r="A3" s="24" t="s">
        <v>989</v>
      </c>
      <c r="B3" s="24"/>
      <c r="C3" s="24"/>
      <c r="D3" s="24"/>
      <c r="E3" s="24"/>
      <c r="F3" s="24"/>
      <c r="G3" s="24"/>
      <c r="H3" s="24"/>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23"/>
      <c r="C6" s="23">
        <f>'Calc-Summary'!B13</f>
        <v>0.35522002506221173</v>
      </c>
      <c r="D6" s="23">
        <f>'Calc-Summary'!C13</f>
        <v>0.57718274710434725</v>
      </c>
      <c r="E6" s="23">
        <f>'Calc-Summary'!D13</f>
        <v>0.33629041263988746</v>
      </c>
      <c r="F6" s="23">
        <f>'Calc-Summary'!E13</f>
        <v>0.21575575796076218</v>
      </c>
      <c r="G6" s="14"/>
      <c r="H6" s="14"/>
    </row>
    <row r="7" spans="1:8">
      <c r="A7" s="14"/>
      <c r="B7" s="14"/>
      <c r="C7" s="14"/>
      <c r="D7" s="14"/>
      <c r="E7" s="14"/>
      <c r="F7" s="14"/>
      <c r="G7" s="14"/>
      <c r="H7" s="14"/>
    </row>
    <row r="9" spans="1:8">
      <c r="C9" s="405"/>
      <c r="D9" s="405"/>
      <c r="E9" s="405"/>
      <c r="F9" s="405"/>
    </row>
  </sheetData>
  <sheetProtection sheet="1" objects="1" scenarios="1"/>
  <phoneticPr fontId="2" type="noConversion"/>
  <pageMargins left="0.75" right="0.75" top="1" bottom="1" header="0.5" footer="0.5"/>
  <pageSetup paperSize="9" scale="76"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5FFFF"/>
    <pageSetUpPr fitToPage="1"/>
  </sheetPr>
  <dimension ref="A1:J33"/>
  <sheetViews>
    <sheetView workbookViewId="0">
      <selection activeCell="H44" sqref="H44"/>
    </sheetView>
  </sheetViews>
  <sheetFormatPr defaultColWidth="8.85546875" defaultRowHeight="12.75"/>
  <cols>
    <col min="1" max="1" width="5" customWidth="1"/>
    <col min="2" max="2" width="38.140625" bestFit="1" customWidth="1"/>
    <col min="3" max="8" width="9.42578125" customWidth="1"/>
  </cols>
  <sheetData>
    <row r="1" spans="1:10">
      <c r="C1" s="406" t="s">
        <v>59</v>
      </c>
      <c r="D1" s="406" t="s">
        <v>60</v>
      </c>
      <c r="E1" s="406" t="s">
        <v>61</v>
      </c>
      <c r="F1" s="406" t="s">
        <v>62</v>
      </c>
      <c r="G1" s="406" t="s">
        <v>63</v>
      </c>
      <c r="H1" s="406" t="s">
        <v>64</v>
      </c>
      <c r="J1" s="407"/>
    </row>
    <row r="2" spans="1:10">
      <c r="C2" s="406" t="s">
        <v>65</v>
      </c>
      <c r="D2" s="406" t="s">
        <v>65</v>
      </c>
      <c r="E2" s="406" t="s">
        <v>65</v>
      </c>
      <c r="F2" s="406" t="s">
        <v>65</v>
      </c>
      <c r="G2" s="406" t="s">
        <v>65</v>
      </c>
      <c r="H2" s="406" t="s">
        <v>65</v>
      </c>
    </row>
    <row r="3" spans="1:10">
      <c r="A3">
        <v>1</v>
      </c>
      <c r="B3" t="s">
        <v>66</v>
      </c>
      <c r="C3" s="30"/>
      <c r="D3" s="31">
        <v>920</v>
      </c>
      <c r="E3" s="31">
        <v>964.3</v>
      </c>
      <c r="F3" s="31">
        <v>1002.5</v>
      </c>
      <c r="G3" s="31">
        <v>1034.7</v>
      </c>
      <c r="H3" s="31">
        <v>1060.8</v>
      </c>
      <c r="I3" t="s">
        <v>67</v>
      </c>
    </row>
    <row r="4" spans="1:10">
      <c r="A4">
        <v>2</v>
      </c>
      <c r="B4" t="s">
        <v>68</v>
      </c>
      <c r="C4" s="30"/>
      <c r="D4" s="31">
        <v>112.7</v>
      </c>
      <c r="E4" s="31">
        <v>112.3</v>
      </c>
      <c r="F4" s="31">
        <v>111.8</v>
      </c>
      <c r="G4" s="31">
        <v>111.4</v>
      </c>
      <c r="H4" s="31">
        <v>110.9</v>
      </c>
      <c r="I4" t="s">
        <v>67</v>
      </c>
    </row>
    <row r="5" spans="1:10">
      <c r="A5">
        <v>3</v>
      </c>
      <c r="B5" t="s">
        <v>69</v>
      </c>
      <c r="C5" s="30"/>
      <c r="D5" s="31">
        <v>-68.5</v>
      </c>
      <c r="E5" s="31">
        <v>-74.099999999999994</v>
      </c>
      <c r="F5" s="31">
        <v>-79.7</v>
      </c>
      <c r="G5" s="31">
        <v>-85.3</v>
      </c>
      <c r="H5" s="31">
        <v>-90.9</v>
      </c>
      <c r="I5" t="s">
        <v>67</v>
      </c>
    </row>
    <row r="6" spans="1:10">
      <c r="A6">
        <v>4</v>
      </c>
      <c r="B6" t="s">
        <v>70</v>
      </c>
      <c r="C6" s="30"/>
      <c r="D6" s="31">
        <v>964.3</v>
      </c>
      <c r="E6" s="31">
        <v>1002.5</v>
      </c>
      <c r="F6" s="31">
        <v>1034.7</v>
      </c>
      <c r="G6" s="31">
        <v>1060.8</v>
      </c>
      <c r="H6" s="31">
        <v>1080.9000000000001</v>
      </c>
      <c r="I6" t="s">
        <v>67</v>
      </c>
    </row>
    <row r="7" spans="1:10">
      <c r="A7">
        <v>5</v>
      </c>
      <c r="B7" t="s">
        <v>71</v>
      </c>
      <c r="C7" s="30"/>
      <c r="D7" s="31">
        <v>920</v>
      </c>
      <c r="E7" s="31"/>
      <c r="F7" s="31"/>
      <c r="G7" s="31"/>
      <c r="H7" s="31">
        <v>825.2</v>
      </c>
    </row>
    <row r="8" spans="1:10">
      <c r="A8">
        <v>6</v>
      </c>
      <c r="B8" t="s">
        <v>72</v>
      </c>
      <c r="C8" s="30"/>
      <c r="D8" s="31"/>
      <c r="E8" s="31"/>
      <c r="F8" s="31"/>
      <c r="G8" s="31"/>
      <c r="H8" s="31">
        <v>94.8</v>
      </c>
    </row>
    <row r="9" spans="1:10">
      <c r="A9" s="408" t="s">
        <v>73</v>
      </c>
      <c r="D9" s="32"/>
      <c r="E9" s="32"/>
      <c r="F9" s="32"/>
      <c r="G9" s="32"/>
      <c r="H9" s="32"/>
    </row>
    <row r="10" spans="1:10">
      <c r="A10">
        <v>7</v>
      </c>
      <c r="B10" t="s">
        <v>74</v>
      </c>
      <c r="C10" s="30"/>
      <c r="D10" s="31">
        <v>67</v>
      </c>
      <c r="E10" s="31">
        <v>64.7</v>
      </c>
      <c r="F10" s="31">
        <v>63.1</v>
      </c>
      <c r="G10" s="31">
        <v>61.7</v>
      </c>
      <c r="H10" s="31">
        <v>60.2</v>
      </c>
      <c r="I10" t="s">
        <v>67</v>
      </c>
    </row>
    <row r="11" spans="1:10">
      <c r="A11">
        <v>8</v>
      </c>
      <c r="B11" t="s">
        <v>75</v>
      </c>
      <c r="C11" s="30"/>
      <c r="D11" s="31">
        <v>103.5</v>
      </c>
      <c r="E11" s="31">
        <v>103.1</v>
      </c>
      <c r="F11" s="31">
        <v>102.6</v>
      </c>
      <c r="G11" s="31">
        <v>102.2</v>
      </c>
      <c r="H11" s="31">
        <v>101.7</v>
      </c>
      <c r="I11" t="s">
        <v>67</v>
      </c>
    </row>
    <row r="12" spans="1:10">
      <c r="A12">
        <v>9</v>
      </c>
      <c r="B12" t="s">
        <v>76</v>
      </c>
      <c r="C12" s="30"/>
      <c r="D12" s="31">
        <v>16</v>
      </c>
      <c r="E12" s="31">
        <v>16</v>
      </c>
      <c r="F12" s="31">
        <v>16</v>
      </c>
      <c r="G12" s="31">
        <v>16</v>
      </c>
      <c r="H12" s="31">
        <v>16</v>
      </c>
      <c r="I12" t="s">
        <v>67</v>
      </c>
    </row>
    <row r="13" spans="1:10">
      <c r="A13">
        <v>10</v>
      </c>
      <c r="B13" t="s">
        <v>77</v>
      </c>
      <c r="C13" s="30"/>
      <c r="D13" s="31">
        <v>19.7</v>
      </c>
      <c r="E13" s="31">
        <v>22.3</v>
      </c>
      <c r="F13" s="31">
        <v>23.5</v>
      </c>
      <c r="G13" s="31">
        <v>24.9</v>
      </c>
      <c r="H13" s="31">
        <v>24.9</v>
      </c>
      <c r="I13" t="s">
        <v>67</v>
      </c>
    </row>
    <row r="14" spans="1:10">
      <c r="A14">
        <v>11</v>
      </c>
      <c r="B14" t="s">
        <v>78</v>
      </c>
      <c r="C14" s="30"/>
      <c r="D14" s="31">
        <v>1.8</v>
      </c>
      <c r="E14" s="31">
        <v>1</v>
      </c>
      <c r="F14" s="31">
        <v>-0.6</v>
      </c>
      <c r="G14" s="31">
        <v>-1.1000000000000001</v>
      </c>
      <c r="H14" s="31">
        <v>-0.5</v>
      </c>
      <c r="I14" t="s">
        <v>67</v>
      </c>
    </row>
    <row r="15" spans="1:10">
      <c r="A15">
        <v>12</v>
      </c>
      <c r="B15" t="s">
        <v>79</v>
      </c>
      <c r="C15" s="30"/>
      <c r="D15" s="31">
        <v>1.6</v>
      </c>
      <c r="E15" s="31">
        <v>1.7</v>
      </c>
      <c r="F15" s="31">
        <v>1.8</v>
      </c>
      <c r="G15" s="31">
        <v>1.8</v>
      </c>
      <c r="H15" s="31">
        <v>1.9</v>
      </c>
      <c r="I15" t="s">
        <v>67</v>
      </c>
    </row>
    <row r="16" spans="1:10">
      <c r="A16">
        <v>13</v>
      </c>
      <c r="B16" t="s">
        <v>80</v>
      </c>
      <c r="C16" s="30"/>
      <c r="D16" s="33">
        <v>1.4</v>
      </c>
      <c r="E16" s="33">
        <v>1.4</v>
      </c>
      <c r="F16" s="33">
        <v>1.4</v>
      </c>
      <c r="G16" s="33" t="s">
        <v>1021</v>
      </c>
      <c r="H16" s="33" t="s">
        <v>1021</v>
      </c>
      <c r="I16" t="s">
        <v>67</v>
      </c>
    </row>
    <row r="17" spans="1:9">
      <c r="A17">
        <v>14</v>
      </c>
      <c r="B17" t="s">
        <v>81</v>
      </c>
      <c r="C17" s="30"/>
      <c r="D17" s="33" t="s">
        <v>1021</v>
      </c>
      <c r="E17" s="33" t="s">
        <v>1021</v>
      </c>
      <c r="F17" s="33" t="s">
        <v>1021</v>
      </c>
      <c r="G17" s="33" t="s">
        <v>1021</v>
      </c>
      <c r="H17" s="33" t="s">
        <v>1021</v>
      </c>
      <c r="I17" t="s">
        <v>67</v>
      </c>
    </row>
    <row r="18" spans="1:9">
      <c r="A18">
        <v>15</v>
      </c>
      <c r="B18" t="s">
        <v>82</v>
      </c>
      <c r="C18" s="30"/>
      <c r="D18" s="33">
        <v>1.5</v>
      </c>
      <c r="E18" s="33" t="s">
        <v>1021</v>
      </c>
      <c r="F18" s="33" t="s">
        <v>1021</v>
      </c>
      <c r="G18" s="33" t="s">
        <v>1021</v>
      </c>
      <c r="H18" s="33" t="s">
        <v>1021</v>
      </c>
      <c r="I18" t="s">
        <v>67</v>
      </c>
    </row>
    <row r="19" spans="1:9">
      <c r="A19">
        <v>16</v>
      </c>
      <c r="B19" t="s">
        <v>83</v>
      </c>
      <c r="C19" s="34"/>
      <c r="D19" s="35">
        <v>212.6</v>
      </c>
      <c r="E19" s="35">
        <v>210.3</v>
      </c>
      <c r="F19" s="35">
        <v>207.9</v>
      </c>
      <c r="G19" s="35">
        <v>205.5</v>
      </c>
      <c r="H19" s="35">
        <v>204.2</v>
      </c>
      <c r="I19" t="s">
        <v>67</v>
      </c>
    </row>
    <row r="20" spans="1:9">
      <c r="A20">
        <v>17</v>
      </c>
      <c r="B20" t="s">
        <v>84</v>
      </c>
      <c r="C20" s="30"/>
      <c r="D20" s="31">
        <v>207</v>
      </c>
      <c r="E20" s="31">
        <v>193.9</v>
      </c>
      <c r="F20" s="31">
        <v>181.6</v>
      </c>
      <c r="G20" s="31">
        <v>170.1</v>
      </c>
      <c r="H20" s="31">
        <v>160.19999999999999</v>
      </c>
      <c r="I20" t="s">
        <v>67</v>
      </c>
    </row>
    <row r="21" spans="1:9">
      <c r="A21">
        <v>18</v>
      </c>
      <c r="B21" t="s">
        <v>85</v>
      </c>
      <c r="C21" s="30"/>
      <c r="D21" s="31"/>
      <c r="E21" s="31"/>
      <c r="F21" s="31"/>
      <c r="G21" s="31"/>
      <c r="H21" s="31">
        <v>94.8</v>
      </c>
    </row>
    <row r="22" spans="1:9">
      <c r="A22">
        <v>19</v>
      </c>
      <c r="B22" s="409" t="s">
        <v>86</v>
      </c>
      <c r="C22" s="30"/>
      <c r="D22" s="31"/>
      <c r="E22" s="31"/>
      <c r="F22" s="31"/>
      <c r="G22" s="31"/>
      <c r="H22" s="35">
        <v>1007.6</v>
      </c>
    </row>
    <row r="23" spans="1:9">
      <c r="A23" s="408" t="s">
        <v>87</v>
      </c>
      <c r="D23" s="32"/>
      <c r="E23" s="32"/>
      <c r="F23" s="32"/>
      <c r="G23" s="32"/>
      <c r="H23" s="32"/>
    </row>
    <row r="24" spans="1:9">
      <c r="A24">
        <v>20</v>
      </c>
      <c r="B24" t="s">
        <v>88</v>
      </c>
      <c r="C24" s="30"/>
      <c r="D24" s="36">
        <v>1</v>
      </c>
      <c r="E24" s="36">
        <v>1.0109999999999999</v>
      </c>
      <c r="F24" s="36">
        <v>1.0129999999999999</v>
      </c>
      <c r="G24" s="36">
        <v>1.022</v>
      </c>
      <c r="H24" s="36">
        <v>1.024</v>
      </c>
      <c r="I24" t="s">
        <v>67</v>
      </c>
    </row>
    <row r="25" spans="1:9">
      <c r="A25">
        <v>21</v>
      </c>
      <c r="B25" t="s">
        <v>89</v>
      </c>
      <c r="C25" s="30"/>
      <c r="D25" s="36">
        <v>0.97299999999999998</v>
      </c>
      <c r="E25" s="36">
        <v>0.93200000000000005</v>
      </c>
      <c r="F25" s="36">
        <v>0.88500000000000001</v>
      </c>
      <c r="G25" s="36">
        <v>0.84599999999999997</v>
      </c>
      <c r="H25" s="36">
        <v>0.80300000000000005</v>
      </c>
      <c r="I25" t="s">
        <v>67</v>
      </c>
    </row>
    <row r="26" spans="1:9">
      <c r="A26">
        <v>22</v>
      </c>
      <c r="B26" t="s">
        <v>90</v>
      </c>
      <c r="C26" s="30">
        <v>205.2</v>
      </c>
      <c r="D26" s="31">
        <v>221.2</v>
      </c>
      <c r="E26" s="31">
        <v>223.6</v>
      </c>
      <c r="F26" s="31">
        <v>224.1</v>
      </c>
      <c r="G26" s="31">
        <v>226.1</v>
      </c>
      <c r="H26" s="31">
        <v>226.5</v>
      </c>
      <c r="I26" t="s">
        <v>67</v>
      </c>
    </row>
    <row r="27" spans="1:9">
      <c r="A27">
        <v>23</v>
      </c>
      <c r="B27" t="s">
        <v>91</v>
      </c>
      <c r="C27" s="30"/>
      <c r="D27" s="31">
        <v>5.8</v>
      </c>
      <c r="E27" s="31">
        <v>5.8</v>
      </c>
      <c r="F27" s="31">
        <v>5.8</v>
      </c>
      <c r="G27" s="31">
        <v>5.8</v>
      </c>
      <c r="H27" s="31">
        <v>5.8</v>
      </c>
      <c r="I27" t="s">
        <v>67</v>
      </c>
    </row>
    <row r="28" spans="1:9">
      <c r="A28">
        <v>24</v>
      </c>
      <c r="B28" t="s">
        <v>92</v>
      </c>
      <c r="C28" s="30"/>
      <c r="D28" s="31">
        <v>227</v>
      </c>
      <c r="E28" s="31">
        <v>229.4</v>
      </c>
      <c r="F28" s="31">
        <v>229.9</v>
      </c>
      <c r="G28" s="31">
        <v>231.9</v>
      </c>
      <c r="H28" s="31">
        <v>232.3</v>
      </c>
      <c r="I28" t="s">
        <v>67</v>
      </c>
    </row>
    <row r="29" spans="1:9">
      <c r="A29">
        <v>25</v>
      </c>
      <c r="B29" t="s">
        <v>93</v>
      </c>
      <c r="C29" s="30"/>
      <c r="D29" s="31">
        <v>221</v>
      </c>
      <c r="E29" s="31">
        <v>211.6</v>
      </c>
      <c r="F29" s="31">
        <v>200.9</v>
      </c>
      <c r="G29" s="31">
        <v>192</v>
      </c>
      <c r="H29" s="31">
        <v>182.2</v>
      </c>
      <c r="I29" t="s">
        <v>67</v>
      </c>
    </row>
    <row r="30" spans="1:9">
      <c r="A30">
        <v>26</v>
      </c>
      <c r="B30" t="s">
        <v>86</v>
      </c>
      <c r="C30" s="30"/>
      <c r="D30" s="31"/>
      <c r="E30" s="31"/>
      <c r="F30" s="31"/>
      <c r="G30" s="31"/>
      <c r="H30" s="35">
        <v>1007.6</v>
      </c>
    </row>
    <row r="32" spans="1:9">
      <c r="A32" t="s">
        <v>996</v>
      </c>
    </row>
    <row r="33" spans="1:1">
      <c r="A33" s="409" t="s">
        <v>997</v>
      </c>
    </row>
  </sheetData>
  <phoneticPr fontId="2" type="noConversion"/>
  <pageMargins left="0.75" right="0.75" top="1" bottom="1" header="0.5" footer="0.5"/>
  <pageSetup paperSize="9" scale="7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5FFFF"/>
    <pageSetUpPr fitToPage="1"/>
  </sheetPr>
  <dimension ref="A1:AE147"/>
  <sheetViews>
    <sheetView zoomScale="80" zoomScaleNormal="80" workbookViewId="0">
      <selection activeCell="AH45" sqref="AH45"/>
    </sheetView>
  </sheetViews>
  <sheetFormatPr defaultColWidth="8.85546875" defaultRowHeight="15"/>
  <cols>
    <col min="1" max="1" width="3.28515625" style="2" customWidth="1"/>
    <col min="2" max="2" width="2.7109375" style="2" customWidth="1"/>
    <col min="3" max="3" width="2.5703125" style="2" customWidth="1"/>
    <col min="4" max="4" width="8.85546875" style="2" customWidth="1"/>
    <col min="5" max="5" width="33" style="2" customWidth="1"/>
    <col min="6" max="6" width="10.85546875" style="2" customWidth="1"/>
    <col min="7" max="10" width="8.85546875" style="2" customWidth="1"/>
    <col min="11" max="11" width="11.140625" style="2" customWidth="1"/>
    <col min="12" max="15" width="8.85546875" style="2" customWidth="1"/>
    <col min="16" max="16" width="11" style="2" customWidth="1"/>
    <col min="17" max="20" width="8.85546875" style="2" customWidth="1"/>
    <col min="21" max="21" width="11.42578125" style="410" customWidth="1"/>
    <col min="22" max="25" width="8.85546875" style="2" customWidth="1"/>
    <col min="26" max="26" width="11" style="2" customWidth="1"/>
    <col min="27" max="30" width="8.85546875" style="2" customWidth="1"/>
    <col min="31" max="31" width="12.28515625" style="2" customWidth="1"/>
    <col min="32" max="16384" width="8.85546875" style="2"/>
  </cols>
  <sheetData>
    <row r="1" spans="1:31">
      <c r="A1" s="1" t="s">
        <v>94</v>
      </c>
      <c r="B1" s="1"/>
      <c r="F1" s="2" t="s">
        <v>67</v>
      </c>
      <c r="I1" s="2" t="s">
        <v>67</v>
      </c>
      <c r="K1" s="2" t="s">
        <v>67</v>
      </c>
      <c r="L1" s="2" t="s">
        <v>67</v>
      </c>
      <c r="N1" s="2" t="s">
        <v>67</v>
      </c>
      <c r="P1" s="2" t="s">
        <v>67</v>
      </c>
      <c r="Q1" s="2" t="s">
        <v>67</v>
      </c>
      <c r="S1" s="2" t="s">
        <v>67</v>
      </c>
      <c r="U1" s="410" t="s">
        <v>67</v>
      </c>
      <c r="V1" s="2" t="s">
        <v>67</v>
      </c>
      <c r="X1" s="2" t="s">
        <v>67</v>
      </c>
      <c r="Z1" s="2" t="s">
        <v>67</v>
      </c>
      <c r="AA1" s="2" t="s">
        <v>67</v>
      </c>
      <c r="AC1" s="2" t="s">
        <v>67</v>
      </c>
      <c r="AE1" s="2" t="s">
        <v>67</v>
      </c>
    </row>
    <row r="2" spans="1:31">
      <c r="A2" s="1"/>
      <c r="B2" s="1"/>
    </row>
    <row r="3" spans="1:31">
      <c r="A3" s="1" t="s">
        <v>95</v>
      </c>
      <c r="B3" s="1"/>
    </row>
    <row r="4" spans="1:31">
      <c r="A4" s="1"/>
      <c r="B4" s="1"/>
    </row>
    <row r="5" spans="1:31" ht="15.75" customHeight="1">
      <c r="A5" s="1"/>
      <c r="B5" s="1" t="s">
        <v>96</v>
      </c>
    </row>
    <row r="6" spans="1:31" ht="15.75" thickBot="1"/>
    <row r="7" spans="1:31" ht="13.5" customHeight="1" thickBot="1">
      <c r="B7" s="1867" t="s">
        <v>97</v>
      </c>
      <c r="C7" s="1868"/>
      <c r="D7" s="1868"/>
      <c r="E7" s="1869"/>
      <c r="F7" s="1876" t="s">
        <v>98</v>
      </c>
      <c r="G7" s="1879" t="s">
        <v>99</v>
      </c>
      <c r="H7" s="1879"/>
      <c r="I7" s="1879"/>
      <c r="J7" s="1879"/>
      <c r="K7" s="1880"/>
      <c r="L7" s="1879" t="s">
        <v>100</v>
      </c>
      <c r="M7" s="1879"/>
      <c r="N7" s="1879"/>
      <c r="O7" s="1879"/>
      <c r="P7" s="1880"/>
      <c r="Q7" s="1881" t="s">
        <v>101</v>
      </c>
      <c r="R7" s="1879"/>
      <c r="S7" s="1879"/>
      <c r="T7" s="1879"/>
      <c r="U7" s="1880"/>
      <c r="V7" s="1881" t="s">
        <v>102</v>
      </c>
      <c r="W7" s="1879"/>
      <c r="X7" s="1879"/>
      <c r="Y7" s="1879"/>
      <c r="Z7" s="1880"/>
      <c r="AA7" s="1881" t="s">
        <v>64</v>
      </c>
      <c r="AB7" s="1879"/>
      <c r="AC7" s="1879"/>
      <c r="AD7" s="1879"/>
      <c r="AE7" s="1880"/>
    </row>
    <row r="8" spans="1:31" ht="38.25">
      <c r="B8" s="1870"/>
      <c r="C8" s="1871"/>
      <c r="D8" s="1871"/>
      <c r="E8" s="1872"/>
      <c r="F8" s="1877"/>
      <c r="G8" s="1871" t="s">
        <v>103</v>
      </c>
      <c r="H8" s="1871"/>
      <c r="I8" s="1870" t="s">
        <v>104</v>
      </c>
      <c r="J8" s="1871"/>
      <c r="K8" s="411" t="s">
        <v>105</v>
      </c>
      <c r="L8" s="1871" t="s">
        <v>103</v>
      </c>
      <c r="M8" s="1871"/>
      <c r="N8" s="1870" t="s">
        <v>104</v>
      </c>
      <c r="O8" s="1872"/>
      <c r="P8" s="412" t="s">
        <v>105</v>
      </c>
      <c r="Q8" s="1871" t="s">
        <v>103</v>
      </c>
      <c r="R8" s="1871"/>
      <c r="S8" s="1870" t="s">
        <v>104</v>
      </c>
      <c r="T8" s="1871"/>
      <c r="U8" s="413" t="s">
        <v>105</v>
      </c>
      <c r="V8" s="1871" t="s">
        <v>103</v>
      </c>
      <c r="W8" s="1871"/>
      <c r="X8" s="1870" t="s">
        <v>104</v>
      </c>
      <c r="Y8" s="1872"/>
      <c r="Z8" s="412" t="s">
        <v>105</v>
      </c>
      <c r="AA8" s="1871" t="s">
        <v>103</v>
      </c>
      <c r="AB8" s="1871"/>
      <c r="AC8" s="1870" t="s">
        <v>104</v>
      </c>
      <c r="AD8" s="1872"/>
      <c r="AE8" s="412" t="s">
        <v>106</v>
      </c>
    </row>
    <row r="9" spans="1:31" ht="16.5" customHeight="1" thickBot="1">
      <c r="B9" s="1873"/>
      <c r="C9" s="1874"/>
      <c r="D9" s="1874"/>
      <c r="E9" s="1875"/>
      <c r="F9" s="1878"/>
      <c r="G9" s="414" t="s">
        <v>107</v>
      </c>
      <c r="H9" s="415" t="s">
        <v>108</v>
      </c>
      <c r="I9" s="416" t="s">
        <v>107</v>
      </c>
      <c r="J9" s="417" t="s">
        <v>108</v>
      </c>
      <c r="K9" s="418" t="s">
        <v>99</v>
      </c>
      <c r="L9" s="414" t="s">
        <v>107</v>
      </c>
      <c r="M9" s="415" t="s">
        <v>108</v>
      </c>
      <c r="N9" s="416" t="s">
        <v>107</v>
      </c>
      <c r="O9" s="419" t="s">
        <v>108</v>
      </c>
      <c r="P9" s="420" t="s">
        <v>100</v>
      </c>
      <c r="Q9" s="414" t="s">
        <v>107</v>
      </c>
      <c r="R9" s="415" t="s">
        <v>108</v>
      </c>
      <c r="S9" s="416" t="s">
        <v>107</v>
      </c>
      <c r="T9" s="417" t="s">
        <v>108</v>
      </c>
      <c r="U9" s="421" t="s">
        <v>101</v>
      </c>
      <c r="V9" s="414" t="s">
        <v>107</v>
      </c>
      <c r="W9" s="415" t="s">
        <v>108</v>
      </c>
      <c r="X9" s="416" t="s">
        <v>107</v>
      </c>
      <c r="Y9" s="419" t="s">
        <v>108</v>
      </c>
      <c r="Z9" s="420" t="s">
        <v>102</v>
      </c>
      <c r="AA9" s="414" t="s">
        <v>107</v>
      </c>
      <c r="AB9" s="415" t="s">
        <v>108</v>
      </c>
      <c r="AC9" s="416" t="s">
        <v>107</v>
      </c>
      <c r="AD9" s="419" t="s">
        <v>108</v>
      </c>
      <c r="AE9" s="420" t="s">
        <v>64</v>
      </c>
    </row>
    <row r="10" spans="1:31">
      <c r="B10" s="422"/>
      <c r="C10" s="423" t="s">
        <v>109</v>
      </c>
      <c r="D10" s="423"/>
      <c r="E10" s="424"/>
      <c r="F10" s="37"/>
      <c r="G10" s="38"/>
      <c r="H10" s="39"/>
      <c r="I10" s="38"/>
      <c r="J10" s="40"/>
      <c r="K10" s="37"/>
      <c r="L10" s="38"/>
      <c r="M10" s="39"/>
      <c r="N10" s="38"/>
      <c r="O10" s="40"/>
      <c r="P10" s="37"/>
      <c r="Q10" s="38"/>
      <c r="R10" s="39"/>
      <c r="S10" s="38"/>
      <c r="T10" s="40"/>
      <c r="U10" s="425"/>
      <c r="V10" s="38"/>
      <c r="W10" s="39"/>
      <c r="X10" s="38"/>
      <c r="Y10" s="39"/>
      <c r="Z10" s="37"/>
      <c r="AA10" s="38"/>
      <c r="AB10" s="39"/>
      <c r="AC10" s="38"/>
      <c r="AD10" s="39"/>
      <c r="AE10" s="37"/>
    </row>
    <row r="11" spans="1:31">
      <c r="B11" s="422"/>
      <c r="C11" s="424"/>
      <c r="D11" s="426" t="s">
        <v>110</v>
      </c>
      <c r="E11" s="424"/>
      <c r="F11" s="41"/>
      <c r="G11" s="42"/>
      <c r="H11" s="43"/>
      <c r="I11" s="42"/>
      <c r="J11" s="44"/>
      <c r="K11" s="41"/>
      <c r="L11" s="42"/>
      <c r="M11" s="43"/>
      <c r="N11" s="42"/>
      <c r="O11" s="44"/>
      <c r="P11" s="41"/>
      <c r="Q11" s="42"/>
      <c r="R11" s="43"/>
      <c r="S11" s="42"/>
      <c r="T11" s="44"/>
      <c r="U11" s="427"/>
      <c r="V11" s="42"/>
      <c r="W11" s="43"/>
      <c r="X11" s="42"/>
      <c r="Y11" s="43"/>
      <c r="Z11" s="41"/>
      <c r="AA11" s="42"/>
      <c r="AB11" s="43"/>
      <c r="AC11" s="42"/>
      <c r="AD11" s="43"/>
      <c r="AE11" s="41"/>
    </row>
    <row r="12" spans="1:31">
      <c r="B12" s="428"/>
      <c r="C12" s="424"/>
      <c r="D12" s="424"/>
      <c r="E12" s="424" t="s">
        <v>111</v>
      </c>
      <c r="F12" s="45">
        <v>2354.5645372041154</v>
      </c>
      <c r="G12" s="46">
        <v>0</v>
      </c>
      <c r="H12" s="47">
        <v>9</v>
      </c>
      <c r="I12" s="46">
        <v>1.794</v>
      </c>
      <c r="J12" s="47">
        <v>8.7759999999999998</v>
      </c>
      <c r="K12" s="45">
        <v>2356.1345372041155</v>
      </c>
      <c r="L12" s="46">
        <v>0</v>
      </c>
      <c r="M12" s="47">
        <v>27</v>
      </c>
      <c r="N12" s="46">
        <v>0.71499999999999997</v>
      </c>
      <c r="O12" s="47">
        <v>0</v>
      </c>
      <c r="P12" s="45">
        <v>2329.8495372041157</v>
      </c>
      <c r="Q12" s="46">
        <v>0</v>
      </c>
      <c r="R12" s="47">
        <v>18</v>
      </c>
      <c r="S12" s="46">
        <v>0</v>
      </c>
      <c r="T12" s="47">
        <v>13</v>
      </c>
      <c r="U12" s="429">
        <v>2324.8495372041157</v>
      </c>
      <c r="V12" s="46">
        <v>0</v>
      </c>
      <c r="W12" s="47">
        <v>85.324719847205969</v>
      </c>
      <c r="X12" s="46">
        <v>0.48</v>
      </c>
      <c r="Y12" s="47">
        <v>43.995182643090388</v>
      </c>
      <c r="Z12" s="45">
        <v>2284</v>
      </c>
      <c r="AA12" s="46">
        <v>0</v>
      </c>
      <c r="AB12" s="47">
        <v>41.947929483602621</v>
      </c>
      <c r="AC12" s="46">
        <v>0.46800000000000003</v>
      </c>
      <c r="AD12" s="47">
        <v>27.392517406770956</v>
      </c>
      <c r="AE12" s="45">
        <v>2269.9125879231683</v>
      </c>
    </row>
    <row r="13" spans="1:31">
      <c r="B13" s="428"/>
      <c r="C13" s="424"/>
      <c r="D13" s="424"/>
      <c r="E13" s="424" t="s">
        <v>112</v>
      </c>
      <c r="F13" s="45">
        <v>99289.390225289055</v>
      </c>
      <c r="G13" s="46">
        <v>0</v>
      </c>
      <c r="H13" s="47">
        <v>705</v>
      </c>
      <c r="I13" s="46">
        <v>8</v>
      </c>
      <c r="J13" s="48">
        <v>392</v>
      </c>
      <c r="K13" s="45">
        <v>98984.390225289055</v>
      </c>
      <c r="L13" s="46">
        <v>0</v>
      </c>
      <c r="M13" s="47">
        <v>0</v>
      </c>
      <c r="N13" s="46">
        <v>0</v>
      </c>
      <c r="O13" s="48">
        <v>0</v>
      </c>
      <c r="P13" s="45">
        <v>98984.390225289055</v>
      </c>
      <c r="Q13" s="46">
        <v>0</v>
      </c>
      <c r="R13" s="47">
        <v>0</v>
      </c>
      <c r="S13" s="46">
        <v>0</v>
      </c>
      <c r="T13" s="48">
        <v>0</v>
      </c>
      <c r="U13" s="429">
        <v>98984.390225289055</v>
      </c>
      <c r="V13" s="46">
        <v>0</v>
      </c>
      <c r="W13" s="47">
        <v>2693.8522252890562</v>
      </c>
      <c r="X13" s="46">
        <v>1</v>
      </c>
      <c r="Y13" s="47">
        <v>2406.462</v>
      </c>
      <c r="Z13" s="45">
        <v>98698</v>
      </c>
      <c r="AA13" s="46">
        <v>0</v>
      </c>
      <c r="AB13" s="47">
        <v>1376.7634505781118</v>
      </c>
      <c r="AC13" s="46">
        <v>3.2000000000000001E-2</v>
      </c>
      <c r="AD13" s="47">
        <v>1024.6436666666666</v>
      </c>
      <c r="AE13" s="45">
        <v>98345.912216088545</v>
      </c>
    </row>
    <row r="14" spans="1:31">
      <c r="B14" s="428"/>
      <c r="C14" s="424"/>
      <c r="D14" s="424"/>
      <c r="E14" s="424"/>
      <c r="F14" s="49"/>
      <c r="G14" s="50"/>
      <c r="H14" s="51"/>
      <c r="I14" s="50"/>
      <c r="J14" s="52"/>
      <c r="K14" s="49"/>
      <c r="L14" s="50"/>
      <c r="M14" s="51"/>
      <c r="N14" s="50"/>
      <c r="O14" s="52"/>
      <c r="P14" s="49"/>
      <c r="Q14" s="50"/>
      <c r="R14" s="51"/>
      <c r="S14" s="50"/>
      <c r="T14" s="52"/>
      <c r="U14" s="430"/>
      <c r="V14" s="50"/>
      <c r="W14" s="51"/>
      <c r="X14" s="50"/>
      <c r="Y14" s="51"/>
      <c r="Z14" s="49"/>
      <c r="AA14" s="50"/>
      <c r="AB14" s="51"/>
      <c r="AC14" s="50"/>
      <c r="AD14" s="51"/>
      <c r="AE14" s="49"/>
    </row>
    <row r="15" spans="1:31">
      <c r="B15" s="428"/>
      <c r="C15" s="424"/>
      <c r="D15" s="426" t="s">
        <v>113</v>
      </c>
      <c r="E15" s="424"/>
      <c r="F15" s="49"/>
      <c r="G15" s="50"/>
      <c r="H15" s="51"/>
      <c r="I15" s="50"/>
      <c r="J15" s="52"/>
      <c r="K15" s="49"/>
      <c r="L15" s="50"/>
      <c r="M15" s="51"/>
      <c r="N15" s="50"/>
      <c r="O15" s="52"/>
      <c r="P15" s="49"/>
      <c r="Q15" s="50"/>
      <c r="R15" s="51"/>
      <c r="S15" s="50"/>
      <c r="T15" s="52"/>
      <c r="U15" s="430"/>
      <c r="V15" s="50"/>
      <c r="W15" s="51"/>
      <c r="X15" s="50"/>
      <c r="Y15" s="51"/>
      <c r="Z15" s="49"/>
      <c r="AA15" s="50"/>
      <c r="AB15" s="51"/>
      <c r="AC15" s="50"/>
      <c r="AD15" s="51"/>
      <c r="AE15" s="49"/>
    </row>
    <row r="16" spans="1:31">
      <c r="B16" s="428"/>
      <c r="C16" s="424"/>
      <c r="D16" s="424"/>
      <c r="E16" s="424" t="s">
        <v>114</v>
      </c>
      <c r="F16" s="45">
        <v>60371.75</v>
      </c>
      <c r="G16" s="46">
        <v>0</v>
      </c>
      <c r="H16" s="47">
        <v>39</v>
      </c>
      <c r="I16" s="46">
        <v>18</v>
      </c>
      <c r="J16" s="48">
        <v>39</v>
      </c>
      <c r="K16" s="45">
        <v>60389.75</v>
      </c>
      <c r="L16" s="46">
        <v>0</v>
      </c>
      <c r="M16" s="47">
        <v>29</v>
      </c>
      <c r="N16" s="46">
        <v>178</v>
      </c>
      <c r="O16" s="48">
        <v>0</v>
      </c>
      <c r="P16" s="45">
        <v>60538.75</v>
      </c>
      <c r="Q16" s="46">
        <v>0</v>
      </c>
      <c r="R16" s="47">
        <v>528</v>
      </c>
      <c r="S16" s="46">
        <v>0</v>
      </c>
      <c r="T16" s="48">
        <v>359</v>
      </c>
      <c r="U16" s="429">
        <v>60369.75</v>
      </c>
      <c r="V16" s="46">
        <v>0</v>
      </c>
      <c r="W16" s="47">
        <v>2708.68</v>
      </c>
      <c r="X16" s="46">
        <v>0</v>
      </c>
      <c r="Y16" s="47">
        <v>2702.68</v>
      </c>
      <c r="Z16" s="45">
        <v>60363.75</v>
      </c>
      <c r="AA16" s="46">
        <v>0</v>
      </c>
      <c r="AB16" s="47">
        <v>1150.3308569948058</v>
      </c>
      <c r="AC16" s="46">
        <v>0</v>
      </c>
      <c r="AD16" s="47">
        <v>1252.9608602038074</v>
      </c>
      <c r="AE16" s="45">
        <v>60466.380003209</v>
      </c>
    </row>
    <row r="17" spans="2:31">
      <c r="B17" s="428"/>
      <c r="C17" s="424"/>
      <c r="D17" s="424"/>
      <c r="E17" s="424"/>
      <c r="F17" s="49"/>
      <c r="G17" s="50"/>
      <c r="H17" s="51"/>
      <c r="I17" s="50"/>
      <c r="J17" s="52"/>
      <c r="K17" s="49"/>
      <c r="L17" s="50"/>
      <c r="M17" s="51"/>
      <c r="N17" s="50"/>
      <c r="O17" s="52"/>
      <c r="P17" s="49"/>
      <c r="Q17" s="50"/>
      <c r="R17" s="51"/>
      <c r="S17" s="50"/>
      <c r="T17" s="52"/>
      <c r="U17" s="430"/>
      <c r="V17" s="50"/>
      <c r="W17" s="51"/>
      <c r="X17" s="50"/>
      <c r="Y17" s="51"/>
      <c r="Z17" s="49"/>
      <c r="AA17" s="50"/>
      <c r="AB17" s="51"/>
      <c r="AC17" s="50"/>
      <c r="AD17" s="51"/>
      <c r="AE17" s="49"/>
    </row>
    <row r="18" spans="2:31">
      <c r="B18" s="428"/>
      <c r="C18" s="424"/>
      <c r="D18" s="426" t="s">
        <v>115</v>
      </c>
      <c r="E18" s="424"/>
      <c r="F18" s="49"/>
      <c r="G18" s="50"/>
      <c r="H18" s="51"/>
      <c r="I18" s="50"/>
      <c r="J18" s="52"/>
      <c r="K18" s="49"/>
      <c r="L18" s="50"/>
      <c r="M18" s="51"/>
      <c r="N18" s="50"/>
      <c r="O18" s="52"/>
      <c r="P18" s="49"/>
      <c r="Q18" s="50"/>
      <c r="R18" s="51"/>
      <c r="S18" s="50"/>
      <c r="T18" s="52"/>
      <c r="U18" s="430"/>
      <c r="V18" s="50"/>
      <c r="W18" s="51"/>
      <c r="X18" s="50"/>
      <c r="Y18" s="51"/>
      <c r="Z18" s="49"/>
      <c r="AA18" s="50"/>
      <c r="AB18" s="51"/>
      <c r="AC18" s="50"/>
      <c r="AD18" s="51"/>
      <c r="AE18" s="49"/>
    </row>
    <row r="19" spans="2:31">
      <c r="B19" s="428"/>
      <c r="C19" s="424"/>
      <c r="D19" s="426"/>
      <c r="E19" s="424" t="s">
        <v>116</v>
      </c>
      <c r="F19" s="45">
        <v>4727.8075599589647</v>
      </c>
      <c r="G19" s="46">
        <v>0</v>
      </c>
      <c r="H19" s="47">
        <v>17.791543310266785</v>
      </c>
      <c r="I19" s="46">
        <v>0</v>
      </c>
      <c r="J19" s="48">
        <v>0</v>
      </c>
      <c r="K19" s="45">
        <v>4710.0160166486976</v>
      </c>
      <c r="L19" s="46">
        <v>0</v>
      </c>
      <c r="M19" s="47">
        <v>28.154379185746794</v>
      </c>
      <c r="N19" s="46">
        <v>0</v>
      </c>
      <c r="O19" s="48">
        <v>0</v>
      </c>
      <c r="P19" s="45">
        <v>4681.861637462951</v>
      </c>
      <c r="Q19" s="46">
        <v>0</v>
      </c>
      <c r="R19" s="47">
        <v>7.6009464171068011</v>
      </c>
      <c r="S19" s="46">
        <v>0</v>
      </c>
      <c r="T19" s="48">
        <v>0</v>
      </c>
      <c r="U19" s="429">
        <v>4674.2606910458444</v>
      </c>
      <c r="V19" s="46">
        <v>0</v>
      </c>
      <c r="W19" s="47">
        <v>25.26069104584419</v>
      </c>
      <c r="X19" s="46">
        <v>0</v>
      </c>
      <c r="Y19" s="47">
        <v>0</v>
      </c>
      <c r="Z19" s="45">
        <v>4649</v>
      </c>
      <c r="AA19" s="46">
        <v>0</v>
      </c>
      <c r="AB19" s="47">
        <v>36.173098579662422</v>
      </c>
      <c r="AC19" s="46">
        <v>0</v>
      </c>
      <c r="AD19" s="47">
        <v>0</v>
      </c>
      <c r="AE19" s="45">
        <v>4612.8269014203379</v>
      </c>
    </row>
    <row r="20" spans="2:31">
      <c r="B20" s="428"/>
      <c r="C20" s="424"/>
      <c r="D20" s="426"/>
      <c r="E20" s="424" t="s">
        <v>117</v>
      </c>
      <c r="F20" s="45">
        <v>4022.4958378132133</v>
      </c>
      <c r="G20" s="46">
        <v>0</v>
      </c>
      <c r="H20" s="47">
        <v>0</v>
      </c>
      <c r="I20" s="46">
        <v>2.9239999999999999</v>
      </c>
      <c r="J20" s="48">
        <v>60.159019485664224</v>
      </c>
      <c r="K20" s="45">
        <v>4085.5788572988777</v>
      </c>
      <c r="L20" s="46">
        <v>0</v>
      </c>
      <c r="M20" s="47">
        <v>0</v>
      </c>
      <c r="N20" s="46">
        <v>2.4159999999999999</v>
      </c>
      <c r="O20" s="48">
        <v>86.588143594849896</v>
      </c>
      <c r="P20" s="45">
        <v>4174.5830008937273</v>
      </c>
      <c r="Q20" s="46">
        <v>0</v>
      </c>
      <c r="R20" s="47">
        <v>0</v>
      </c>
      <c r="S20" s="46">
        <v>17</v>
      </c>
      <c r="T20" s="48">
        <v>82.839527566492634</v>
      </c>
      <c r="U20" s="429">
        <v>4274.4225284602198</v>
      </c>
      <c r="V20" s="46">
        <v>0</v>
      </c>
      <c r="W20" s="47">
        <v>6.1178571428683881E-3</v>
      </c>
      <c r="X20" s="46">
        <v>9.382128278705089</v>
      </c>
      <c r="Y20" s="47">
        <v>93.20146111821812</v>
      </c>
      <c r="Z20" s="45">
        <v>4377</v>
      </c>
      <c r="AA20" s="46">
        <v>0</v>
      </c>
      <c r="AB20" s="47">
        <v>6.1178571428683881E-3</v>
      </c>
      <c r="AC20" s="46">
        <v>0.61</v>
      </c>
      <c r="AD20" s="47">
        <v>105.65311526303276</v>
      </c>
      <c r="AE20" s="45">
        <v>4483.2569974058897</v>
      </c>
    </row>
    <row r="21" spans="2:31">
      <c r="B21" s="428"/>
      <c r="C21" s="424"/>
      <c r="D21" s="426"/>
      <c r="E21" s="424" t="s">
        <v>118</v>
      </c>
      <c r="F21" s="45">
        <v>19566.731821733883</v>
      </c>
      <c r="G21" s="46">
        <v>0</v>
      </c>
      <c r="H21" s="47">
        <v>42.663476175397435</v>
      </c>
      <c r="I21" s="46">
        <v>0</v>
      </c>
      <c r="J21" s="48">
        <v>0</v>
      </c>
      <c r="K21" s="45">
        <v>19524.068345558488</v>
      </c>
      <c r="L21" s="46">
        <v>0</v>
      </c>
      <c r="M21" s="47">
        <v>64.750764409103112</v>
      </c>
      <c r="N21" s="46">
        <v>0</v>
      </c>
      <c r="O21" s="48">
        <v>0</v>
      </c>
      <c r="P21" s="45">
        <v>19459.317581149386</v>
      </c>
      <c r="Q21" s="46">
        <v>0</v>
      </c>
      <c r="R21" s="47">
        <v>35.43858114938584</v>
      </c>
      <c r="S21" s="46">
        <v>0</v>
      </c>
      <c r="T21" s="48">
        <v>0</v>
      </c>
      <c r="U21" s="429">
        <v>19423.879000000001</v>
      </c>
      <c r="V21" s="46">
        <v>0</v>
      </c>
      <c r="W21" s="47">
        <v>55.879000000000005</v>
      </c>
      <c r="X21" s="46">
        <v>0</v>
      </c>
      <c r="Y21" s="47">
        <v>0</v>
      </c>
      <c r="Z21" s="45">
        <v>19368</v>
      </c>
      <c r="AA21" s="46">
        <v>0</v>
      </c>
      <c r="AB21" s="47">
        <v>52.995000000000005</v>
      </c>
      <c r="AC21" s="46">
        <v>0</v>
      </c>
      <c r="AD21" s="47">
        <v>0</v>
      </c>
      <c r="AE21" s="45">
        <v>19315.005000000001</v>
      </c>
    </row>
    <row r="22" spans="2:31">
      <c r="B22" s="428"/>
      <c r="C22" s="424"/>
      <c r="D22" s="426"/>
      <c r="E22" s="424" t="s">
        <v>119</v>
      </c>
      <c r="F22" s="45">
        <v>2353878.8150429553</v>
      </c>
      <c r="G22" s="46">
        <v>0</v>
      </c>
      <c r="H22" s="47">
        <v>0</v>
      </c>
      <c r="I22" s="46">
        <v>17</v>
      </c>
      <c r="J22" s="48">
        <v>480</v>
      </c>
      <c r="K22" s="45">
        <v>2354375.8150429553</v>
      </c>
      <c r="L22" s="46">
        <v>0</v>
      </c>
      <c r="M22" s="47">
        <v>3000</v>
      </c>
      <c r="N22" s="46">
        <v>0</v>
      </c>
      <c r="O22" s="48">
        <v>0</v>
      </c>
      <c r="P22" s="45">
        <v>2351375.8150429553</v>
      </c>
      <c r="Q22" s="46">
        <v>0</v>
      </c>
      <c r="R22" s="47">
        <v>0</v>
      </c>
      <c r="S22" s="46">
        <v>0</v>
      </c>
      <c r="T22" s="48">
        <v>0</v>
      </c>
      <c r="U22" s="429">
        <v>2351375.8150429553</v>
      </c>
      <c r="V22" s="46">
        <v>0</v>
      </c>
      <c r="W22" s="47">
        <v>10</v>
      </c>
      <c r="X22" s="46">
        <v>8</v>
      </c>
      <c r="Y22" s="47">
        <v>1272.184957044672</v>
      </c>
      <c r="Z22" s="45">
        <v>2352646</v>
      </c>
      <c r="AA22" s="46">
        <v>0</v>
      </c>
      <c r="AB22" s="47">
        <v>1584</v>
      </c>
      <c r="AC22" s="46">
        <v>0.22900000000000001</v>
      </c>
      <c r="AD22" s="47">
        <v>996.4000290576729</v>
      </c>
      <c r="AE22" s="45">
        <v>2352058.6290290575</v>
      </c>
    </row>
    <row r="23" spans="2:31">
      <c r="B23" s="428"/>
      <c r="C23" s="424"/>
      <c r="D23" s="424"/>
      <c r="E23" s="424"/>
      <c r="F23" s="49"/>
      <c r="G23" s="50"/>
      <c r="H23" s="51"/>
      <c r="I23" s="50"/>
      <c r="J23" s="52"/>
      <c r="K23" s="49"/>
      <c r="L23" s="50"/>
      <c r="M23" s="51"/>
      <c r="N23" s="50"/>
      <c r="O23" s="52"/>
      <c r="P23" s="49"/>
      <c r="Q23" s="50"/>
      <c r="R23" s="51"/>
      <c r="S23" s="50"/>
      <c r="T23" s="52"/>
      <c r="U23" s="430"/>
      <c r="V23" s="50"/>
      <c r="W23" s="51"/>
      <c r="X23" s="50"/>
      <c r="Y23" s="51"/>
      <c r="Z23" s="49"/>
      <c r="AA23" s="50"/>
      <c r="AB23" s="51"/>
      <c r="AC23" s="50"/>
      <c r="AD23" s="51"/>
      <c r="AE23" s="49"/>
    </row>
    <row r="24" spans="2:31">
      <c r="B24" s="428"/>
      <c r="C24" s="424"/>
      <c r="D24" s="426" t="s">
        <v>120</v>
      </c>
      <c r="E24" s="424"/>
      <c r="F24" s="49"/>
      <c r="G24" s="50"/>
      <c r="H24" s="51"/>
      <c r="I24" s="50"/>
      <c r="J24" s="52"/>
      <c r="K24" s="49"/>
      <c r="L24" s="50"/>
      <c r="M24" s="51"/>
      <c r="N24" s="50"/>
      <c r="O24" s="52"/>
      <c r="P24" s="49"/>
      <c r="Q24" s="50"/>
      <c r="R24" s="51"/>
      <c r="S24" s="50"/>
      <c r="T24" s="52"/>
      <c r="U24" s="430"/>
      <c r="V24" s="50"/>
      <c r="W24" s="51"/>
      <c r="X24" s="50"/>
      <c r="Y24" s="51"/>
      <c r="Z24" s="49"/>
      <c r="AA24" s="50"/>
      <c r="AB24" s="51"/>
      <c r="AC24" s="50"/>
      <c r="AD24" s="51"/>
      <c r="AE24" s="49"/>
    </row>
    <row r="25" spans="2:31">
      <c r="B25" s="428"/>
      <c r="C25" s="424"/>
      <c r="D25" s="426"/>
      <c r="E25" s="424" t="s">
        <v>121</v>
      </c>
      <c r="F25" s="45">
        <v>3156.67</v>
      </c>
      <c r="G25" s="46">
        <v>0</v>
      </c>
      <c r="H25" s="47">
        <v>64</v>
      </c>
      <c r="I25" s="46">
        <v>0</v>
      </c>
      <c r="J25" s="48">
        <v>9</v>
      </c>
      <c r="K25" s="45">
        <v>3101.67</v>
      </c>
      <c r="L25" s="46">
        <v>0</v>
      </c>
      <c r="M25" s="47">
        <v>16</v>
      </c>
      <c r="N25" s="46">
        <v>0</v>
      </c>
      <c r="O25" s="48">
        <v>0</v>
      </c>
      <c r="P25" s="45">
        <v>3085.67</v>
      </c>
      <c r="Q25" s="46">
        <v>0</v>
      </c>
      <c r="R25" s="47">
        <v>18</v>
      </c>
      <c r="S25" s="46">
        <v>10</v>
      </c>
      <c r="T25" s="48">
        <v>61</v>
      </c>
      <c r="U25" s="429">
        <v>3138.67</v>
      </c>
      <c r="V25" s="46">
        <v>0</v>
      </c>
      <c r="W25" s="47">
        <v>17</v>
      </c>
      <c r="X25" s="46">
        <v>4.0999999999999996</v>
      </c>
      <c r="Y25" s="47">
        <v>66.23</v>
      </c>
      <c r="Z25" s="45">
        <v>3192</v>
      </c>
      <c r="AA25" s="46">
        <v>0</v>
      </c>
      <c r="AB25" s="47">
        <v>10</v>
      </c>
      <c r="AC25" s="46">
        <v>0</v>
      </c>
      <c r="AD25" s="47">
        <v>9</v>
      </c>
      <c r="AE25" s="45">
        <v>3191</v>
      </c>
    </row>
    <row r="26" spans="2:31">
      <c r="B26" s="428"/>
      <c r="C26" s="424"/>
      <c r="D26" s="426"/>
      <c r="E26" s="424" t="s">
        <v>122</v>
      </c>
      <c r="F26" s="45">
        <v>7230.67</v>
      </c>
      <c r="G26" s="46">
        <v>0</v>
      </c>
      <c r="H26" s="47">
        <v>82</v>
      </c>
      <c r="I26" s="46">
        <v>0</v>
      </c>
      <c r="J26" s="48">
        <v>0</v>
      </c>
      <c r="K26" s="45">
        <v>7148.67</v>
      </c>
      <c r="L26" s="46">
        <v>0</v>
      </c>
      <c r="M26" s="47">
        <v>68</v>
      </c>
      <c r="N26" s="46">
        <v>15</v>
      </c>
      <c r="O26" s="48">
        <v>42</v>
      </c>
      <c r="P26" s="45">
        <v>7137.67</v>
      </c>
      <c r="Q26" s="46">
        <v>0</v>
      </c>
      <c r="R26" s="47">
        <v>140</v>
      </c>
      <c r="S26" s="46">
        <v>1</v>
      </c>
      <c r="T26" s="48">
        <v>16</v>
      </c>
      <c r="U26" s="429">
        <v>7014.67</v>
      </c>
      <c r="V26" s="46">
        <v>0</v>
      </c>
      <c r="W26" s="47">
        <v>138</v>
      </c>
      <c r="X26" s="46">
        <v>1.77</v>
      </c>
      <c r="Y26" s="47">
        <v>28.56</v>
      </c>
      <c r="Z26" s="45">
        <v>6907</v>
      </c>
      <c r="AA26" s="46">
        <v>0</v>
      </c>
      <c r="AB26" s="47">
        <v>94</v>
      </c>
      <c r="AC26" s="46">
        <v>0</v>
      </c>
      <c r="AD26" s="47">
        <v>95</v>
      </c>
      <c r="AE26" s="45">
        <v>6908</v>
      </c>
    </row>
    <row r="27" spans="2:31">
      <c r="B27" s="428"/>
      <c r="C27" s="424"/>
      <c r="D27" s="426"/>
      <c r="E27" s="424" t="s">
        <v>123</v>
      </c>
      <c r="F27" s="45">
        <v>6404</v>
      </c>
      <c r="G27" s="46">
        <v>0</v>
      </c>
      <c r="H27" s="47">
        <v>0</v>
      </c>
      <c r="I27" s="46">
        <v>0</v>
      </c>
      <c r="J27" s="48">
        <v>0</v>
      </c>
      <c r="K27" s="45">
        <v>6404</v>
      </c>
      <c r="L27" s="46">
        <v>0</v>
      </c>
      <c r="M27" s="47">
        <v>35</v>
      </c>
      <c r="N27" s="46">
        <v>0</v>
      </c>
      <c r="O27" s="48">
        <v>2</v>
      </c>
      <c r="P27" s="45">
        <v>6371</v>
      </c>
      <c r="Q27" s="46">
        <v>0</v>
      </c>
      <c r="R27" s="47">
        <v>71</v>
      </c>
      <c r="S27" s="46">
        <v>0</v>
      </c>
      <c r="T27" s="48">
        <v>2</v>
      </c>
      <c r="U27" s="429">
        <v>6302</v>
      </c>
      <c r="V27" s="46">
        <v>0</v>
      </c>
      <c r="W27" s="47">
        <v>62</v>
      </c>
      <c r="X27" s="46">
        <v>0</v>
      </c>
      <c r="Y27" s="47">
        <v>0</v>
      </c>
      <c r="Z27" s="45">
        <v>6240</v>
      </c>
      <c r="AA27" s="46">
        <v>0</v>
      </c>
      <c r="AB27" s="47">
        <v>7</v>
      </c>
      <c r="AC27" s="46">
        <v>0</v>
      </c>
      <c r="AD27" s="47">
        <v>4</v>
      </c>
      <c r="AE27" s="45">
        <v>6237</v>
      </c>
    </row>
    <row r="28" spans="2:31">
      <c r="B28" s="428"/>
      <c r="C28" s="424"/>
      <c r="D28" s="426"/>
      <c r="E28" s="424" t="s">
        <v>124</v>
      </c>
      <c r="F28" s="45">
        <v>18976</v>
      </c>
      <c r="G28" s="46">
        <v>0</v>
      </c>
      <c r="H28" s="47">
        <v>40</v>
      </c>
      <c r="I28" s="46">
        <v>2</v>
      </c>
      <c r="J28" s="48">
        <v>46</v>
      </c>
      <c r="K28" s="45">
        <v>18984</v>
      </c>
      <c r="L28" s="46">
        <v>0</v>
      </c>
      <c r="M28" s="47">
        <v>128</v>
      </c>
      <c r="N28" s="46">
        <v>4</v>
      </c>
      <c r="O28" s="48">
        <v>86</v>
      </c>
      <c r="P28" s="45">
        <v>18946</v>
      </c>
      <c r="Q28" s="46">
        <v>0</v>
      </c>
      <c r="R28" s="47">
        <v>322</v>
      </c>
      <c r="S28" s="46">
        <v>29</v>
      </c>
      <c r="T28" s="48">
        <v>323</v>
      </c>
      <c r="U28" s="429">
        <v>18976</v>
      </c>
      <c r="V28" s="46">
        <v>0</v>
      </c>
      <c r="W28" s="47">
        <v>112</v>
      </c>
      <c r="X28" s="46">
        <v>5</v>
      </c>
      <c r="Y28" s="47">
        <v>74</v>
      </c>
      <c r="Z28" s="45">
        <v>18943</v>
      </c>
      <c r="AA28" s="46">
        <v>0</v>
      </c>
      <c r="AB28" s="47">
        <v>150.01866853979703</v>
      </c>
      <c r="AC28" s="46">
        <v>0</v>
      </c>
      <c r="AD28" s="47">
        <v>87.713266812564328</v>
      </c>
      <c r="AE28" s="45">
        <v>18880.694598272767</v>
      </c>
    </row>
    <row r="29" spans="2:31">
      <c r="B29" s="428"/>
      <c r="C29" s="424"/>
      <c r="D29" s="426"/>
      <c r="E29" s="424" t="s">
        <v>125</v>
      </c>
      <c r="F29" s="45">
        <v>20641</v>
      </c>
      <c r="G29" s="46">
        <v>0</v>
      </c>
      <c r="H29" s="47">
        <v>0</v>
      </c>
      <c r="I29" s="46">
        <v>0</v>
      </c>
      <c r="J29" s="48">
        <v>0</v>
      </c>
      <c r="K29" s="45">
        <v>20641</v>
      </c>
      <c r="L29" s="46">
        <v>0</v>
      </c>
      <c r="M29" s="47">
        <v>0</v>
      </c>
      <c r="N29" s="46">
        <v>0</v>
      </c>
      <c r="O29" s="48">
        <v>0</v>
      </c>
      <c r="P29" s="45">
        <v>20641</v>
      </c>
      <c r="Q29" s="46">
        <v>0</v>
      </c>
      <c r="R29" s="47">
        <v>656</v>
      </c>
      <c r="S29" s="46">
        <v>0</v>
      </c>
      <c r="T29" s="48">
        <v>0</v>
      </c>
      <c r="U29" s="429">
        <v>19985</v>
      </c>
      <c r="V29" s="46">
        <v>0</v>
      </c>
      <c r="W29" s="47">
        <v>107</v>
      </c>
      <c r="X29" s="46">
        <v>0</v>
      </c>
      <c r="Y29" s="47">
        <v>0</v>
      </c>
      <c r="Z29" s="45">
        <v>19878</v>
      </c>
      <c r="AA29" s="46">
        <v>0</v>
      </c>
      <c r="AB29" s="47">
        <v>0</v>
      </c>
      <c r="AC29" s="46">
        <v>0</v>
      </c>
      <c r="AD29" s="47">
        <v>0</v>
      </c>
      <c r="AE29" s="45">
        <v>19878</v>
      </c>
    </row>
    <row r="30" spans="2:31">
      <c r="B30" s="428"/>
      <c r="C30" s="424"/>
      <c r="D30" s="426"/>
      <c r="E30" s="424" t="s">
        <v>126</v>
      </c>
      <c r="F30" s="45">
        <v>0</v>
      </c>
      <c r="G30" s="46">
        <v>0</v>
      </c>
      <c r="H30" s="47">
        <v>0</v>
      </c>
      <c r="I30" s="46">
        <v>0</v>
      </c>
      <c r="J30" s="48">
        <v>0</v>
      </c>
      <c r="K30" s="45">
        <v>0</v>
      </c>
      <c r="L30" s="46">
        <v>0</v>
      </c>
      <c r="M30" s="47">
        <v>0</v>
      </c>
      <c r="N30" s="46">
        <v>0</v>
      </c>
      <c r="O30" s="48">
        <v>0</v>
      </c>
      <c r="P30" s="45">
        <v>0</v>
      </c>
      <c r="Q30" s="46">
        <v>0</v>
      </c>
      <c r="R30" s="47">
        <v>0</v>
      </c>
      <c r="S30" s="46">
        <v>0</v>
      </c>
      <c r="T30" s="48">
        <v>0</v>
      </c>
      <c r="U30" s="429">
        <v>0</v>
      </c>
      <c r="V30" s="46">
        <v>0</v>
      </c>
      <c r="W30" s="47">
        <v>0</v>
      </c>
      <c r="X30" s="46">
        <v>0</v>
      </c>
      <c r="Y30" s="47">
        <v>0</v>
      </c>
      <c r="Z30" s="45">
        <v>0</v>
      </c>
      <c r="AA30" s="46">
        <v>0</v>
      </c>
      <c r="AB30" s="47">
        <v>0</v>
      </c>
      <c r="AC30" s="46">
        <v>0</v>
      </c>
      <c r="AD30" s="47">
        <v>0</v>
      </c>
      <c r="AE30" s="45">
        <v>0</v>
      </c>
    </row>
    <row r="31" spans="2:31" ht="15.75" thickBot="1">
      <c r="B31" s="431"/>
      <c r="C31" s="432"/>
      <c r="D31" s="432"/>
      <c r="E31" s="432"/>
      <c r="F31" s="53"/>
      <c r="G31" s="54"/>
      <c r="H31" s="55"/>
      <c r="I31" s="54"/>
      <c r="J31" s="56"/>
      <c r="K31" s="57"/>
      <c r="L31" s="54"/>
      <c r="M31" s="55"/>
      <c r="N31" s="54"/>
      <c r="O31" s="56"/>
      <c r="P31" s="57"/>
      <c r="Q31" s="54"/>
      <c r="R31" s="55"/>
      <c r="S31" s="54"/>
      <c r="T31" s="56"/>
      <c r="U31" s="433"/>
      <c r="V31" s="54"/>
      <c r="W31" s="55"/>
      <c r="X31" s="54"/>
      <c r="Y31" s="55"/>
      <c r="Z31" s="57"/>
      <c r="AA31" s="54"/>
      <c r="AB31" s="55"/>
      <c r="AC31" s="54"/>
      <c r="AD31" s="55"/>
      <c r="AE31" s="57"/>
    </row>
    <row r="32" spans="2:31">
      <c r="B32" s="434"/>
      <c r="C32" s="435" t="s">
        <v>127</v>
      </c>
      <c r="D32" s="435"/>
      <c r="E32" s="436"/>
      <c r="F32" s="49"/>
      <c r="G32" s="50"/>
      <c r="H32" s="51"/>
      <c r="I32" s="50"/>
      <c r="J32" s="52"/>
      <c r="K32" s="49"/>
      <c r="L32" s="50"/>
      <c r="M32" s="51"/>
      <c r="N32" s="50"/>
      <c r="O32" s="52"/>
      <c r="P32" s="49"/>
      <c r="Q32" s="50"/>
      <c r="R32" s="51"/>
      <c r="S32" s="50"/>
      <c r="T32" s="52"/>
      <c r="U32" s="430"/>
      <c r="V32" s="50"/>
      <c r="W32" s="51"/>
      <c r="X32" s="50"/>
      <c r="Y32" s="51"/>
      <c r="Z32" s="49"/>
      <c r="AA32" s="50"/>
      <c r="AB32" s="51"/>
      <c r="AC32" s="50"/>
      <c r="AD32" s="51"/>
      <c r="AE32" s="49"/>
    </row>
    <row r="33" spans="2:31">
      <c r="B33" s="428"/>
      <c r="C33" s="424"/>
      <c r="D33" s="426" t="s">
        <v>110</v>
      </c>
      <c r="E33" s="424"/>
      <c r="F33" s="49"/>
      <c r="G33" s="50"/>
      <c r="H33" s="51"/>
      <c r="I33" s="50"/>
      <c r="J33" s="52"/>
      <c r="K33" s="49"/>
      <c r="L33" s="50"/>
      <c r="M33" s="51"/>
      <c r="N33" s="50"/>
      <c r="O33" s="52"/>
      <c r="P33" s="49"/>
      <c r="Q33" s="50"/>
      <c r="R33" s="51"/>
      <c r="S33" s="50"/>
      <c r="T33" s="52"/>
      <c r="U33" s="430"/>
      <c r="V33" s="50"/>
      <c r="W33" s="51"/>
      <c r="X33" s="50"/>
      <c r="Y33" s="51"/>
      <c r="Z33" s="49"/>
      <c r="AA33" s="50"/>
      <c r="AB33" s="51"/>
      <c r="AC33" s="50"/>
      <c r="AD33" s="51"/>
      <c r="AE33" s="49"/>
    </row>
    <row r="34" spans="2:31">
      <c r="B34" s="428"/>
      <c r="C34" s="424"/>
      <c r="D34" s="426"/>
      <c r="E34" s="424" t="s">
        <v>128</v>
      </c>
      <c r="F34" s="45">
        <v>7824.8160318033397</v>
      </c>
      <c r="G34" s="46">
        <v>0</v>
      </c>
      <c r="H34" s="47">
        <v>8</v>
      </c>
      <c r="I34" s="46">
        <v>2.129</v>
      </c>
      <c r="J34" s="48">
        <v>34.146000000000001</v>
      </c>
      <c r="K34" s="45">
        <v>7853.0910318033393</v>
      </c>
      <c r="L34" s="46">
        <v>0</v>
      </c>
      <c r="M34" s="47">
        <v>80.3</v>
      </c>
      <c r="N34" s="46">
        <v>0.21</v>
      </c>
      <c r="O34" s="48">
        <v>33.735999999999997</v>
      </c>
      <c r="P34" s="45">
        <v>7806.7370318033391</v>
      </c>
      <c r="Q34" s="46">
        <v>0</v>
      </c>
      <c r="R34" s="47">
        <v>34.200000000000003</v>
      </c>
      <c r="S34" s="46">
        <v>0</v>
      </c>
      <c r="T34" s="48">
        <v>19.984999999999999</v>
      </c>
      <c r="U34" s="429">
        <v>7792.5220318033389</v>
      </c>
      <c r="V34" s="46">
        <v>0</v>
      </c>
      <c r="W34" s="47">
        <v>19.152065767974861</v>
      </c>
      <c r="X34" s="46">
        <v>2.3780000000000001</v>
      </c>
      <c r="Y34" s="47">
        <v>7.252033964635574</v>
      </c>
      <c r="Z34" s="45">
        <v>7783</v>
      </c>
      <c r="AA34" s="46">
        <v>0</v>
      </c>
      <c r="AB34" s="47">
        <v>27.194989535949727</v>
      </c>
      <c r="AC34" s="46">
        <v>4.2130000000000001</v>
      </c>
      <c r="AD34" s="47">
        <v>8.8975279292711473</v>
      </c>
      <c r="AE34" s="45">
        <v>7768.9155383933221</v>
      </c>
    </row>
    <row r="35" spans="2:31">
      <c r="B35" s="428"/>
      <c r="C35" s="424"/>
      <c r="D35" s="426"/>
      <c r="E35" s="424" t="s">
        <v>129</v>
      </c>
      <c r="F35" s="45">
        <v>14.526999999999999</v>
      </c>
      <c r="G35" s="46">
        <v>0</v>
      </c>
      <c r="H35" s="47">
        <v>0</v>
      </c>
      <c r="I35" s="46">
        <v>0</v>
      </c>
      <c r="J35" s="48">
        <v>3.1349999999999998</v>
      </c>
      <c r="K35" s="45">
        <v>17.661999999999999</v>
      </c>
      <c r="L35" s="46">
        <v>0</v>
      </c>
      <c r="M35" s="47">
        <v>2.5</v>
      </c>
      <c r="N35" s="46">
        <v>0.30599999999999999</v>
      </c>
      <c r="O35" s="48">
        <v>7.2320000000000002</v>
      </c>
      <c r="P35" s="45">
        <v>22.7</v>
      </c>
      <c r="Q35" s="46">
        <v>0</v>
      </c>
      <c r="R35" s="47">
        <v>0</v>
      </c>
      <c r="S35" s="46">
        <v>0</v>
      </c>
      <c r="T35" s="48">
        <v>4.3</v>
      </c>
      <c r="U35" s="429">
        <v>27</v>
      </c>
      <c r="V35" s="46">
        <v>0</v>
      </c>
      <c r="W35" s="47">
        <v>0</v>
      </c>
      <c r="X35" s="46">
        <v>0</v>
      </c>
      <c r="Y35" s="47">
        <v>0</v>
      </c>
      <c r="Z35" s="45">
        <v>27</v>
      </c>
      <c r="AA35" s="46">
        <v>0</v>
      </c>
      <c r="AB35" s="47">
        <v>0</v>
      </c>
      <c r="AC35" s="46">
        <v>0</v>
      </c>
      <c r="AD35" s="47">
        <v>0</v>
      </c>
      <c r="AE35" s="45">
        <v>27</v>
      </c>
    </row>
    <row r="36" spans="2:31">
      <c r="B36" s="428"/>
      <c r="C36" s="424"/>
      <c r="D36" s="424"/>
      <c r="E36" s="424" t="s">
        <v>130</v>
      </c>
      <c r="F36" s="45">
        <v>0</v>
      </c>
      <c r="G36" s="46">
        <v>0</v>
      </c>
      <c r="H36" s="47">
        <v>0</v>
      </c>
      <c r="I36" s="46">
        <v>0</v>
      </c>
      <c r="J36" s="48">
        <v>0</v>
      </c>
      <c r="K36" s="45">
        <v>0</v>
      </c>
      <c r="L36" s="46">
        <v>0</v>
      </c>
      <c r="M36" s="47">
        <v>0</v>
      </c>
      <c r="N36" s="46">
        <v>0</v>
      </c>
      <c r="O36" s="48">
        <v>0</v>
      </c>
      <c r="P36" s="45">
        <v>0</v>
      </c>
      <c r="Q36" s="46">
        <v>0</v>
      </c>
      <c r="R36" s="47">
        <v>0</v>
      </c>
      <c r="S36" s="46">
        <v>0</v>
      </c>
      <c r="T36" s="48">
        <v>0</v>
      </c>
      <c r="U36" s="429">
        <v>0</v>
      </c>
      <c r="V36" s="46">
        <v>0</v>
      </c>
      <c r="W36" s="47">
        <v>0</v>
      </c>
      <c r="X36" s="46">
        <v>0</v>
      </c>
      <c r="Y36" s="47">
        <v>0</v>
      </c>
      <c r="Z36" s="45">
        <v>0</v>
      </c>
      <c r="AA36" s="46">
        <v>0</v>
      </c>
      <c r="AB36" s="47">
        <v>0</v>
      </c>
      <c r="AC36" s="46">
        <v>0</v>
      </c>
      <c r="AD36" s="47">
        <v>0</v>
      </c>
      <c r="AE36" s="45">
        <v>0</v>
      </c>
    </row>
    <row r="37" spans="2:31">
      <c r="B37" s="428"/>
      <c r="C37" s="424"/>
      <c r="D37" s="424"/>
      <c r="E37" s="424" t="s">
        <v>131</v>
      </c>
      <c r="F37" s="45">
        <v>0</v>
      </c>
      <c r="G37" s="46">
        <v>0</v>
      </c>
      <c r="H37" s="47">
        <v>0</v>
      </c>
      <c r="I37" s="46">
        <v>0</v>
      </c>
      <c r="J37" s="48">
        <v>0</v>
      </c>
      <c r="K37" s="45">
        <v>0</v>
      </c>
      <c r="L37" s="46">
        <v>0</v>
      </c>
      <c r="M37" s="47">
        <v>0</v>
      </c>
      <c r="N37" s="46">
        <v>0</v>
      </c>
      <c r="O37" s="48">
        <v>0</v>
      </c>
      <c r="P37" s="45">
        <v>0</v>
      </c>
      <c r="Q37" s="46">
        <v>0</v>
      </c>
      <c r="R37" s="47">
        <v>0</v>
      </c>
      <c r="S37" s="46">
        <v>0</v>
      </c>
      <c r="T37" s="48">
        <v>0</v>
      </c>
      <c r="U37" s="429">
        <v>0</v>
      </c>
      <c r="V37" s="46">
        <v>0</v>
      </c>
      <c r="W37" s="47">
        <v>0</v>
      </c>
      <c r="X37" s="46">
        <v>0</v>
      </c>
      <c r="Y37" s="47">
        <v>0</v>
      </c>
      <c r="Z37" s="45">
        <v>0</v>
      </c>
      <c r="AA37" s="46">
        <v>0</v>
      </c>
      <c r="AB37" s="47">
        <v>0</v>
      </c>
      <c r="AC37" s="46">
        <v>0</v>
      </c>
      <c r="AD37" s="47">
        <v>0</v>
      </c>
      <c r="AE37" s="45">
        <v>0</v>
      </c>
    </row>
    <row r="38" spans="2:31">
      <c r="B38" s="428"/>
      <c r="C38" s="424"/>
      <c r="D38" s="424"/>
      <c r="E38" s="424"/>
      <c r="F38" s="49"/>
      <c r="G38" s="50"/>
      <c r="H38" s="51"/>
      <c r="I38" s="50"/>
      <c r="J38" s="52"/>
      <c r="K38" s="49"/>
      <c r="L38" s="50"/>
      <c r="M38" s="51"/>
      <c r="N38" s="50"/>
      <c r="O38" s="52"/>
      <c r="P38" s="49"/>
      <c r="Q38" s="50"/>
      <c r="R38" s="51"/>
      <c r="S38" s="50"/>
      <c r="T38" s="52"/>
      <c r="U38" s="430"/>
      <c r="V38" s="50"/>
      <c r="W38" s="51"/>
      <c r="X38" s="50"/>
      <c r="Y38" s="51"/>
      <c r="Z38" s="49"/>
      <c r="AA38" s="50"/>
      <c r="AB38" s="51"/>
      <c r="AC38" s="50"/>
      <c r="AD38" s="51"/>
      <c r="AE38" s="49"/>
    </row>
    <row r="39" spans="2:31">
      <c r="B39" s="428"/>
      <c r="C39" s="424"/>
      <c r="D39" s="426" t="s">
        <v>113</v>
      </c>
      <c r="E39" s="424"/>
      <c r="F39" s="49"/>
      <c r="G39" s="50"/>
      <c r="H39" s="51"/>
      <c r="I39" s="50"/>
      <c r="J39" s="52"/>
      <c r="K39" s="49"/>
      <c r="L39" s="50"/>
      <c r="M39" s="51"/>
      <c r="N39" s="50"/>
      <c r="O39" s="52"/>
      <c r="P39" s="49"/>
      <c r="Q39" s="50"/>
      <c r="R39" s="51"/>
      <c r="S39" s="50"/>
      <c r="T39" s="52"/>
      <c r="U39" s="430"/>
      <c r="V39" s="50"/>
      <c r="W39" s="51"/>
      <c r="X39" s="50"/>
      <c r="Y39" s="51"/>
      <c r="Z39" s="49"/>
      <c r="AA39" s="50"/>
      <c r="AB39" s="51"/>
      <c r="AC39" s="50"/>
      <c r="AD39" s="51"/>
      <c r="AE39" s="49"/>
    </row>
    <row r="40" spans="2:31">
      <c r="B40" s="428"/>
      <c r="C40" s="424"/>
      <c r="D40" s="436"/>
      <c r="E40" s="424" t="s">
        <v>132</v>
      </c>
      <c r="F40" s="45">
        <v>99876.5</v>
      </c>
      <c r="G40" s="46">
        <v>0</v>
      </c>
      <c r="H40" s="47">
        <v>252</v>
      </c>
      <c r="I40" s="46">
        <v>22</v>
      </c>
      <c r="J40" s="48">
        <v>252</v>
      </c>
      <c r="K40" s="45">
        <v>99898.5</v>
      </c>
      <c r="L40" s="46">
        <v>0</v>
      </c>
      <c r="M40" s="47">
        <v>0</v>
      </c>
      <c r="N40" s="46">
        <v>1</v>
      </c>
      <c r="O40" s="48">
        <v>51</v>
      </c>
      <c r="P40" s="45">
        <v>99950.5</v>
      </c>
      <c r="Q40" s="46">
        <v>0</v>
      </c>
      <c r="R40" s="47">
        <v>624</v>
      </c>
      <c r="S40" s="46">
        <v>0</v>
      </c>
      <c r="T40" s="48">
        <v>498</v>
      </c>
      <c r="U40" s="429">
        <v>99824.5</v>
      </c>
      <c r="V40" s="46">
        <v>0</v>
      </c>
      <c r="W40" s="47">
        <v>739</v>
      </c>
      <c r="X40" s="46">
        <v>0</v>
      </c>
      <c r="Y40" s="47">
        <v>604</v>
      </c>
      <c r="Z40" s="45">
        <v>99689.5</v>
      </c>
      <c r="AA40" s="46">
        <v>0</v>
      </c>
      <c r="AB40" s="47">
        <v>1818.6554371029215</v>
      </c>
      <c r="AC40" s="46">
        <v>7</v>
      </c>
      <c r="AD40" s="47">
        <v>1641.5823573334308</v>
      </c>
      <c r="AE40" s="45">
        <v>99519.426920230515</v>
      </c>
    </row>
    <row r="41" spans="2:31">
      <c r="B41" s="428"/>
      <c r="C41" s="424"/>
      <c r="D41" s="426"/>
      <c r="E41" s="424" t="s">
        <v>133</v>
      </c>
      <c r="F41" s="45">
        <v>0</v>
      </c>
      <c r="G41" s="46">
        <v>0</v>
      </c>
      <c r="H41" s="47">
        <v>0</v>
      </c>
      <c r="I41" s="46">
        <v>0</v>
      </c>
      <c r="J41" s="48">
        <v>0</v>
      </c>
      <c r="K41" s="45">
        <v>0</v>
      </c>
      <c r="L41" s="46">
        <v>0</v>
      </c>
      <c r="M41" s="47">
        <v>0</v>
      </c>
      <c r="N41" s="46">
        <v>0</v>
      </c>
      <c r="O41" s="48">
        <v>0</v>
      </c>
      <c r="P41" s="45">
        <v>0</v>
      </c>
      <c r="Q41" s="46">
        <v>0</v>
      </c>
      <c r="R41" s="47">
        <v>0</v>
      </c>
      <c r="S41" s="46">
        <v>0</v>
      </c>
      <c r="T41" s="48">
        <v>0</v>
      </c>
      <c r="U41" s="429">
        <v>0</v>
      </c>
      <c r="V41" s="46">
        <v>0</v>
      </c>
      <c r="W41" s="47">
        <v>0</v>
      </c>
      <c r="X41" s="46">
        <v>0</v>
      </c>
      <c r="Y41" s="47">
        <v>0</v>
      </c>
      <c r="Z41" s="45">
        <v>0</v>
      </c>
      <c r="AA41" s="46">
        <v>0</v>
      </c>
      <c r="AB41" s="47">
        <v>0</v>
      </c>
      <c r="AC41" s="46">
        <v>0</v>
      </c>
      <c r="AD41" s="47">
        <v>0</v>
      </c>
      <c r="AE41" s="45">
        <v>0</v>
      </c>
    </row>
    <row r="42" spans="2:31">
      <c r="B42" s="428"/>
      <c r="C42" s="424"/>
      <c r="D42" s="424"/>
      <c r="E42" s="424"/>
      <c r="F42" s="49"/>
      <c r="G42" s="50"/>
      <c r="H42" s="51"/>
      <c r="I42" s="50"/>
      <c r="J42" s="52"/>
      <c r="K42" s="49"/>
      <c r="L42" s="50"/>
      <c r="M42" s="51"/>
      <c r="N42" s="50"/>
      <c r="O42" s="52"/>
      <c r="P42" s="49"/>
      <c r="Q42" s="50"/>
      <c r="R42" s="51"/>
      <c r="S42" s="50"/>
      <c r="T42" s="52"/>
      <c r="U42" s="430"/>
      <c r="V42" s="50"/>
      <c r="W42" s="51"/>
      <c r="X42" s="50"/>
      <c r="Y42" s="51"/>
      <c r="Z42" s="49"/>
      <c r="AA42" s="50"/>
      <c r="AB42" s="51"/>
      <c r="AC42" s="50"/>
      <c r="AD42" s="51"/>
      <c r="AE42" s="49"/>
    </row>
    <row r="43" spans="2:31">
      <c r="B43" s="428"/>
      <c r="C43" s="424"/>
      <c r="D43" s="426" t="s">
        <v>134</v>
      </c>
      <c r="E43" s="424"/>
      <c r="F43" s="49"/>
      <c r="G43" s="50"/>
      <c r="H43" s="51"/>
      <c r="I43" s="50"/>
      <c r="J43" s="52"/>
      <c r="K43" s="49"/>
      <c r="L43" s="50"/>
      <c r="M43" s="51"/>
      <c r="N43" s="50"/>
      <c r="O43" s="52"/>
      <c r="P43" s="49"/>
      <c r="Q43" s="50"/>
      <c r="R43" s="51"/>
      <c r="S43" s="50"/>
      <c r="T43" s="52"/>
      <c r="U43" s="430"/>
      <c r="V43" s="50"/>
      <c r="W43" s="51"/>
      <c r="X43" s="50"/>
      <c r="Y43" s="51"/>
      <c r="Z43" s="49"/>
      <c r="AA43" s="50"/>
      <c r="AB43" s="51"/>
      <c r="AC43" s="50"/>
      <c r="AD43" s="51"/>
      <c r="AE43" s="49"/>
    </row>
    <row r="44" spans="2:31">
      <c r="B44" s="428"/>
      <c r="C44" s="424"/>
      <c r="D44" s="426"/>
      <c r="E44" s="424" t="s">
        <v>135</v>
      </c>
      <c r="F44" s="45">
        <v>12749.288507012367</v>
      </c>
      <c r="G44" s="46">
        <v>13</v>
      </c>
      <c r="H44" s="47">
        <v>29</v>
      </c>
      <c r="I44" s="46">
        <v>13.225999999999999</v>
      </c>
      <c r="J44" s="48">
        <v>28.709000000000003</v>
      </c>
      <c r="K44" s="45">
        <v>12749.223507012366</v>
      </c>
      <c r="L44" s="46">
        <v>4</v>
      </c>
      <c r="M44" s="47">
        <v>13</v>
      </c>
      <c r="N44" s="46">
        <v>8.1760000000000002</v>
      </c>
      <c r="O44" s="48">
        <v>35.398000000000003</v>
      </c>
      <c r="P44" s="45">
        <v>12775.797507012367</v>
      </c>
      <c r="Q44" s="46">
        <v>0</v>
      </c>
      <c r="R44" s="47">
        <v>30.7</v>
      </c>
      <c r="S44" s="46">
        <v>0</v>
      </c>
      <c r="T44" s="48">
        <v>32.652999999999999</v>
      </c>
      <c r="U44" s="429">
        <v>12777.750507012366</v>
      </c>
      <c r="V44" s="46">
        <v>0</v>
      </c>
      <c r="W44" s="47">
        <v>32.29612323161146</v>
      </c>
      <c r="X44" s="46">
        <v>24.228000000000002</v>
      </c>
      <c r="Y44" s="47">
        <v>43.31761621924538</v>
      </c>
      <c r="Z44" s="45">
        <v>12813</v>
      </c>
      <c r="AA44" s="46">
        <v>0</v>
      </c>
      <c r="AB44" s="47">
        <v>26.595943007999999</v>
      </c>
      <c r="AC44" s="46">
        <v>29.117999999999999</v>
      </c>
      <c r="AD44" s="47">
        <v>52.429234564555834</v>
      </c>
      <c r="AE44" s="45">
        <v>12867.951291556556</v>
      </c>
    </row>
    <row r="45" spans="2:31">
      <c r="B45" s="428"/>
      <c r="C45" s="424"/>
      <c r="D45" s="426"/>
      <c r="E45" s="424" t="s">
        <v>136</v>
      </c>
      <c r="F45" s="45">
        <v>0</v>
      </c>
      <c r="G45" s="46">
        <v>0</v>
      </c>
      <c r="H45" s="47">
        <v>0</v>
      </c>
      <c r="I45" s="46">
        <v>0</v>
      </c>
      <c r="J45" s="48">
        <v>0</v>
      </c>
      <c r="K45" s="45">
        <v>0</v>
      </c>
      <c r="L45" s="46">
        <v>0</v>
      </c>
      <c r="M45" s="47">
        <v>0</v>
      </c>
      <c r="N45" s="46">
        <v>0</v>
      </c>
      <c r="O45" s="48">
        <v>0</v>
      </c>
      <c r="P45" s="45">
        <v>0</v>
      </c>
      <c r="Q45" s="46">
        <v>0</v>
      </c>
      <c r="R45" s="47">
        <v>0</v>
      </c>
      <c r="S45" s="46">
        <v>0</v>
      </c>
      <c r="T45" s="48">
        <v>0</v>
      </c>
      <c r="U45" s="429">
        <v>0</v>
      </c>
      <c r="V45" s="46">
        <v>0</v>
      </c>
      <c r="W45" s="47">
        <v>0</v>
      </c>
      <c r="X45" s="46">
        <v>0</v>
      </c>
      <c r="Y45" s="47">
        <v>0</v>
      </c>
      <c r="Z45" s="45">
        <v>0</v>
      </c>
      <c r="AA45" s="46">
        <v>0</v>
      </c>
      <c r="AB45" s="47">
        <v>0</v>
      </c>
      <c r="AC45" s="46">
        <v>0</v>
      </c>
      <c r="AD45" s="47">
        <v>0</v>
      </c>
      <c r="AE45" s="45">
        <v>0</v>
      </c>
    </row>
    <row r="46" spans="2:31">
      <c r="B46" s="428"/>
      <c r="C46" s="424"/>
      <c r="D46" s="426"/>
      <c r="E46" s="424"/>
      <c r="F46" s="49"/>
      <c r="G46" s="50"/>
      <c r="H46" s="51"/>
      <c r="I46" s="50"/>
      <c r="J46" s="52"/>
      <c r="K46" s="49"/>
      <c r="L46" s="50"/>
      <c r="M46" s="51"/>
      <c r="N46" s="50"/>
      <c r="O46" s="52"/>
      <c r="P46" s="49"/>
      <c r="Q46" s="50"/>
      <c r="R46" s="51"/>
      <c r="S46" s="50"/>
      <c r="T46" s="52"/>
      <c r="U46" s="430"/>
      <c r="V46" s="50"/>
      <c r="W46" s="51"/>
      <c r="X46" s="50"/>
      <c r="Y46" s="51"/>
      <c r="Z46" s="49"/>
      <c r="AA46" s="50"/>
      <c r="AB46" s="51"/>
      <c r="AC46" s="50"/>
      <c r="AD46" s="51"/>
      <c r="AE46" s="49"/>
    </row>
    <row r="47" spans="2:31">
      <c r="B47" s="428"/>
      <c r="C47" s="424"/>
      <c r="D47" s="426" t="s">
        <v>137</v>
      </c>
      <c r="E47" s="424"/>
      <c r="F47" s="49"/>
      <c r="G47" s="50"/>
      <c r="H47" s="51"/>
      <c r="I47" s="50"/>
      <c r="J47" s="52"/>
      <c r="K47" s="49"/>
      <c r="L47" s="50"/>
      <c r="M47" s="51"/>
      <c r="N47" s="50"/>
      <c r="O47" s="52"/>
      <c r="P47" s="49"/>
      <c r="Q47" s="50"/>
      <c r="R47" s="51"/>
      <c r="S47" s="50"/>
      <c r="T47" s="52"/>
      <c r="U47" s="430"/>
      <c r="V47" s="50"/>
      <c r="W47" s="51"/>
      <c r="X47" s="50"/>
      <c r="Y47" s="51"/>
      <c r="Z47" s="49"/>
      <c r="AA47" s="50"/>
      <c r="AB47" s="51"/>
      <c r="AC47" s="50"/>
      <c r="AD47" s="51"/>
      <c r="AE47" s="49"/>
    </row>
    <row r="48" spans="2:31">
      <c r="B48" s="428"/>
      <c r="C48" s="424"/>
      <c r="D48" s="426"/>
      <c r="E48" s="424" t="s">
        <v>138</v>
      </c>
      <c r="F48" s="45">
        <v>22</v>
      </c>
      <c r="G48" s="46">
        <v>0</v>
      </c>
      <c r="H48" s="47">
        <v>0</v>
      </c>
      <c r="I48" s="46">
        <v>0</v>
      </c>
      <c r="J48" s="48">
        <v>0</v>
      </c>
      <c r="K48" s="45">
        <v>22</v>
      </c>
      <c r="L48" s="46">
        <v>0</v>
      </c>
      <c r="M48" s="47">
        <v>0</v>
      </c>
      <c r="N48" s="46">
        <v>0</v>
      </c>
      <c r="O48" s="48">
        <v>0</v>
      </c>
      <c r="P48" s="45">
        <v>22</v>
      </c>
      <c r="Q48" s="46">
        <v>0</v>
      </c>
      <c r="R48" s="47">
        <v>0</v>
      </c>
      <c r="S48" s="46">
        <v>0</v>
      </c>
      <c r="T48" s="48">
        <v>0</v>
      </c>
      <c r="U48" s="429">
        <v>22</v>
      </c>
      <c r="V48" s="46">
        <v>0</v>
      </c>
      <c r="W48" s="47">
        <v>0</v>
      </c>
      <c r="X48" s="46">
        <v>0</v>
      </c>
      <c r="Y48" s="47">
        <v>0</v>
      </c>
      <c r="Z48" s="45">
        <v>22</v>
      </c>
      <c r="AA48" s="46">
        <v>0</v>
      </c>
      <c r="AB48" s="47">
        <v>0</v>
      </c>
      <c r="AC48" s="46">
        <v>0</v>
      </c>
      <c r="AD48" s="47">
        <v>0</v>
      </c>
      <c r="AE48" s="45">
        <v>22</v>
      </c>
    </row>
    <row r="49" spans="2:31">
      <c r="B49" s="428"/>
      <c r="C49" s="424"/>
      <c r="D49" s="426"/>
      <c r="E49" s="424"/>
      <c r="F49" s="49"/>
      <c r="G49" s="50"/>
      <c r="H49" s="51"/>
      <c r="I49" s="50"/>
      <c r="J49" s="52"/>
      <c r="K49" s="49"/>
      <c r="L49" s="50"/>
      <c r="M49" s="51"/>
      <c r="N49" s="50"/>
      <c r="O49" s="52"/>
      <c r="P49" s="49"/>
      <c r="Q49" s="50"/>
      <c r="R49" s="51"/>
      <c r="S49" s="50"/>
      <c r="T49" s="52"/>
      <c r="U49" s="430"/>
      <c r="V49" s="50"/>
      <c r="W49" s="51"/>
      <c r="X49" s="50"/>
      <c r="Y49" s="51"/>
      <c r="Z49" s="49"/>
      <c r="AA49" s="50"/>
      <c r="AB49" s="51"/>
      <c r="AC49" s="50"/>
      <c r="AD49" s="51"/>
      <c r="AE49" s="49"/>
    </row>
    <row r="50" spans="2:31">
      <c r="B50" s="428"/>
      <c r="C50" s="424"/>
      <c r="D50" s="426" t="s">
        <v>120</v>
      </c>
      <c r="E50" s="424"/>
      <c r="F50" s="49"/>
      <c r="G50" s="50"/>
      <c r="H50" s="51"/>
      <c r="I50" s="50"/>
      <c r="J50" s="52"/>
      <c r="K50" s="49"/>
      <c r="L50" s="50"/>
      <c r="M50" s="51"/>
      <c r="N50" s="50"/>
      <c r="O50" s="52"/>
      <c r="P50" s="49"/>
      <c r="Q50" s="50"/>
      <c r="R50" s="51"/>
      <c r="S50" s="50"/>
      <c r="T50" s="52"/>
      <c r="U50" s="430"/>
      <c r="V50" s="50"/>
      <c r="W50" s="51"/>
      <c r="X50" s="50"/>
      <c r="Y50" s="51"/>
      <c r="Z50" s="49"/>
      <c r="AA50" s="50"/>
      <c r="AB50" s="51"/>
      <c r="AC50" s="50"/>
      <c r="AD50" s="51"/>
      <c r="AE50" s="49"/>
    </row>
    <row r="51" spans="2:31">
      <c r="B51" s="428"/>
      <c r="C51" s="424"/>
      <c r="D51" s="426"/>
      <c r="E51" s="424" t="s">
        <v>139</v>
      </c>
      <c r="F51" s="45">
        <v>862</v>
      </c>
      <c r="G51" s="46">
        <v>0</v>
      </c>
      <c r="H51" s="47">
        <v>33</v>
      </c>
      <c r="I51" s="46">
        <v>1</v>
      </c>
      <c r="J51" s="48">
        <v>9</v>
      </c>
      <c r="K51" s="45">
        <v>839</v>
      </c>
      <c r="L51" s="46">
        <v>0</v>
      </c>
      <c r="M51" s="47">
        <v>42</v>
      </c>
      <c r="N51" s="46">
        <v>0</v>
      </c>
      <c r="O51" s="48">
        <v>40</v>
      </c>
      <c r="P51" s="45">
        <v>837</v>
      </c>
      <c r="Q51" s="46">
        <v>0</v>
      </c>
      <c r="R51" s="47">
        <v>11</v>
      </c>
      <c r="S51" s="46">
        <v>0</v>
      </c>
      <c r="T51" s="48">
        <v>8</v>
      </c>
      <c r="U51" s="429">
        <v>834</v>
      </c>
      <c r="V51" s="46">
        <v>0</v>
      </c>
      <c r="W51" s="47">
        <v>57</v>
      </c>
      <c r="X51" s="46">
        <v>0</v>
      </c>
      <c r="Y51" s="47">
        <v>12</v>
      </c>
      <c r="Z51" s="45">
        <v>789</v>
      </c>
      <c r="AA51" s="46">
        <v>0</v>
      </c>
      <c r="AB51" s="47">
        <v>7.2315580799999992</v>
      </c>
      <c r="AC51" s="46">
        <v>29</v>
      </c>
      <c r="AD51" s="47">
        <v>7.2315580799999992</v>
      </c>
      <c r="AE51" s="45">
        <v>818</v>
      </c>
    </row>
    <row r="52" spans="2:31">
      <c r="B52" s="428"/>
      <c r="C52" s="424"/>
      <c r="D52" s="426"/>
      <c r="E52" s="424" t="s">
        <v>140</v>
      </c>
      <c r="F52" s="45">
        <v>10923</v>
      </c>
      <c r="G52" s="46">
        <v>0</v>
      </c>
      <c r="H52" s="47">
        <v>147</v>
      </c>
      <c r="I52" s="46">
        <v>15</v>
      </c>
      <c r="J52" s="48">
        <v>83</v>
      </c>
      <c r="K52" s="45">
        <v>10874</v>
      </c>
      <c r="L52" s="46">
        <v>0</v>
      </c>
      <c r="M52" s="47">
        <v>179</v>
      </c>
      <c r="N52" s="46">
        <v>1</v>
      </c>
      <c r="O52" s="48">
        <v>53</v>
      </c>
      <c r="P52" s="45">
        <v>10749</v>
      </c>
      <c r="Q52" s="46">
        <v>0</v>
      </c>
      <c r="R52" s="47">
        <v>184</v>
      </c>
      <c r="S52" s="46">
        <v>40</v>
      </c>
      <c r="T52" s="48">
        <v>35</v>
      </c>
      <c r="U52" s="429">
        <v>10640</v>
      </c>
      <c r="V52" s="46">
        <v>0</v>
      </c>
      <c r="W52" s="47">
        <v>171</v>
      </c>
      <c r="X52" s="46">
        <v>0</v>
      </c>
      <c r="Y52" s="47">
        <v>59</v>
      </c>
      <c r="Z52" s="45">
        <v>10528</v>
      </c>
      <c r="AA52" s="46">
        <v>0</v>
      </c>
      <c r="AB52" s="47">
        <v>139.44295808000001</v>
      </c>
      <c r="AC52" s="46">
        <v>0</v>
      </c>
      <c r="AD52" s="47">
        <v>91.442958079999997</v>
      </c>
      <c r="AE52" s="45">
        <v>10480</v>
      </c>
    </row>
    <row r="53" spans="2:31">
      <c r="B53" s="428"/>
      <c r="C53" s="424"/>
      <c r="D53" s="426"/>
      <c r="E53" s="424" t="s">
        <v>141</v>
      </c>
      <c r="F53" s="45">
        <v>109</v>
      </c>
      <c r="G53" s="46">
        <v>0</v>
      </c>
      <c r="H53" s="47">
        <v>2</v>
      </c>
      <c r="I53" s="46">
        <v>0</v>
      </c>
      <c r="J53" s="48">
        <v>1</v>
      </c>
      <c r="K53" s="45">
        <v>108</v>
      </c>
      <c r="L53" s="46">
        <v>0</v>
      </c>
      <c r="M53" s="47">
        <v>12</v>
      </c>
      <c r="N53" s="46">
        <v>0</v>
      </c>
      <c r="O53" s="48">
        <v>3</v>
      </c>
      <c r="P53" s="45">
        <v>99</v>
      </c>
      <c r="Q53" s="46">
        <v>0</v>
      </c>
      <c r="R53" s="47">
        <v>0</v>
      </c>
      <c r="S53" s="46">
        <v>0</v>
      </c>
      <c r="T53" s="48">
        <v>0</v>
      </c>
      <c r="U53" s="429">
        <v>99</v>
      </c>
      <c r="V53" s="46">
        <v>0</v>
      </c>
      <c r="W53" s="47">
        <v>2</v>
      </c>
      <c r="X53" s="46">
        <v>0</v>
      </c>
      <c r="Y53" s="47">
        <v>1</v>
      </c>
      <c r="Z53" s="45">
        <v>98</v>
      </c>
      <c r="AA53" s="46">
        <v>0</v>
      </c>
      <c r="AB53" s="47">
        <v>20.751758079999998</v>
      </c>
      <c r="AC53" s="46">
        <v>0</v>
      </c>
      <c r="AD53" s="47">
        <v>20.751758079999998</v>
      </c>
      <c r="AE53" s="45">
        <v>98</v>
      </c>
    </row>
    <row r="54" spans="2:31">
      <c r="B54" s="428"/>
      <c r="C54" s="424"/>
      <c r="D54" s="426"/>
      <c r="E54" s="424" t="s">
        <v>142</v>
      </c>
      <c r="F54" s="45">
        <v>15235</v>
      </c>
      <c r="G54" s="46">
        <v>0</v>
      </c>
      <c r="H54" s="47">
        <v>300</v>
      </c>
      <c r="I54" s="46">
        <v>1</v>
      </c>
      <c r="J54" s="48">
        <v>25</v>
      </c>
      <c r="K54" s="45">
        <v>14961</v>
      </c>
      <c r="L54" s="46">
        <v>0</v>
      </c>
      <c r="M54" s="47">
        <v>354</v>
      </c>
      <c r="N54" s="46">
        <v>19</v>
      </c>
      <c r="O54" s="48">
        <v>37</v>
      </c>
      <c r="P54" s="45">
        <v>14663</v>
      </c>
      <c r="Q54" s="46">
        <v>0</v>
      </c>
      <c r="R54" s="47">
        <v>287</v>
      </c>
      <c r="S54" s="46">
        <v>2</v>
      </c>
      <c r="T54" s="48">
        <v>39</v>
      </c>
      <c r="U54" s="429">
        <v>14417</v>
      </c>
      <c r="V54" s="46">
        <v>0</v>
      </c>
      <c r="W54" s="47">
        <v>227</v>
      </c>
      <c r="X54" s="46">
        <v>3</v>
      </c>
      <c r="Y54" s="47">
        <v>44</v>
      </c>
      <c r="Z54" s="45">
        <v>14237</v>
      </c>
      <c r="AA54" s="46">
        <v>43</v>
      </c>
      <c r="AB54" s="47">
        <v>110.44295808</v>
      </c>
      <c r="AC54" s="46">
        <v>43</v>
      </c>
      <c r="AD54" s="47">
        <v>9.4429580800000004</v>
      </c>
      <c r="AE54" s="45">
        <v>14136</v>
      </c>
    </row>
    <row r="55" spans="2:31">
      <c r="B55" s="428"/>
      <c r="C55" s="424"/>
      <c r="D55" s="426"/>
      <c r="E55" s="424" t="s">
        <v>143</v>
      </c>
      <c r="F55" s="45">
        <v>10227.08545034642</v>
      </c>
      <c r="G55" s="46">
        <v>0</v>
      </c>
      <c r="H55" s="47">
        <v>102</v>
      </c>
      <c r="I55" s="46">
        <v>6</v>
      </c>
      <c r="J55" s="48">
        <v>148</v>
      </c>
      <c r="K55" s="45">
        <v>10279.08545034642</v>
      </c>
      <c r="L55" s="46">
        <v>0</v>
      </c>
      <c r="M55" s="47">
        <v>69</v>
      </c>
      <c r="N55" s="46">
        <v>3</v>
      </c>
      <c r="O55" s="48">
        <v>43</v>
      </c>
      <c r="P55" s="45">
        <v>10256.08545034642</v>
      </c>
      <c r="Q55" s="46">
        <v>0</v>
      </c>
      <c r="R55" s="47">
        <v>83</v>
      </c>
      <c r="S55" s="46">
        <v>3.5011547344110854</v>
      </c>
      <c r="T55" s="48">
        <v>116.4133949191686</v>
      </c>
      <c r="U55" s="429">
        <v>10293</v>
      </c>
      <c r="V55" s="46">
        <v>0</v>
      </c>
      <c r="W55" s="47">
        <v>78</v>
      </c>
      <c r="X55" s="46">
        <v>5</v>
      </c>
      <c r="Y55" s="47">
        <v>79</v>
      </c>
      <c r="Z55" s="45">
        <v>10299</v>
      </c>
      <c r="AA55" s="46">
        <v>0</v>
      </c>
      <c r="AB55" s="47">
        <v>38.442958079999997</v>
      </c>
      <c r="AC55" s="46">
        <v>2</v>
      </c>
      <c r="AD55" s="47">
        <v>110.44295808</v>
      </c>
      <c r="AE55" s="45">
        <v>10373</v>
      </c>
    </row>
    <row r="56" spans="2:31">
      <c r="B56" s="428"/>
      <c r="C56" s="424"/>
      <c r="D56" s="426"/>
      <c r="E56" s="424" t="s">
        <v>144</v>
      </c>
      <c r="F56" s="45">
        <v>9701</v>
      </c>
      <c r="G56" s="46">
        <v>0</v>
      </c>
      <c r="H56" s="47">
        <v>45</v>
      </c>
      <c r="I56" s="46">
        <v>0</v>
      </c>
      <c r="J56" s="48">
        <v>56</v>
      </c>
      <c r="K56" s="45">
        <v>9712</v>
      </c>
      <c r="L56" s="46">
        <v>0</v>
      </c>
      <c r="M56" s="47">
        <v>91</v>
      </c>
      <c r="N56" s="46">
        <v>5</v>
      </c>
      <c r="O56" s="48">
        <v>111</v>
      </c>
      <c r="P56" s="45">
        <v>9737</v>
      </c>
      <c r="Q56" s="46">
        <v>0</v>
      </c>
      <c r="R56" s="47">
        <v>173</v>
      </c>
      <c r="S56" s="46">
        <v>1</v>
      </c>
      <c r="T56" s="48">
        <v>87</v>
      </c>
      <c r="U56" s="429">
        <v>9652</v>
      </c>
      <c r="V56" s="46">
        <v>0</v>
      </c>
      <c r="W56" s="47">
        <v>42</v>
      </c>
      <c r="X56" s="46">
        <v>14</v>
      </c>
      <c r="Y56" s="47">
        <v>63</v>
      </c>
      <c r="Z56" s="45">
        <v>9687</v>
      </c>
      <c r="AA56" s="46">
        <v>0</v>
      </c>
      <c r="AB56" s="47">
        <v>0</v>
      </c>
      <c r="AC56" s="46">
        <v>4</v>
      </c>
      <c r="AD56" s="47">
        <v>0</v>
      </c>
      <c r="AE56" s="45">
        <v>9691</v>
      </c>
    </row>
    <row r="57" spans="2:31">
      <c r="B57" s="428"/>
      <c r="C57" s="424"/>
      <c r="D57" s="426"/>
      <c r="E57" s="424" t="s">
        <v>145</v>
      </c>
      <c r="F57" s="45">
        <v>17</v>
      </c>
      <c r="G57" s="46">
        <v>0</v>
      </c>
      <c r="H57" s="47">
        <v>0</v>
      </c>
      <c r="I57" s="46">
        <v>0</v>
      </c>
      <c r="J57" s="48">
        <v>0</v>
      </c>
      <c r="K57" s="45">
        <v>17</v>
      </c>
      <c r="L57" s="46">
        <v>0</v>
      </c>
      <c r="M57" s="47">
        <v>0</v>
      </c>
      <c r="N57" s="46">
        <v>0</v>
      </c>
      <c r="O57" s="48">
        <v>0</v>
      </c>
      <c r="P57" s="45">
        <v>17</v>
      </c>
      <c r="Q57" s="46">
        <v>0</v>
      </c>
      <c r="R57" s="47">
        <v>0</v>
      </c>
      <c r="S57" s="46">
        <v>0</v>
      </c>
      <c r="T57" s="48">
        <v>0</v>
      </c>
      <c r="U57" s="429">
        <v>17</v>
      </c>
      <c r="V57" s="46">
        <v>12</v>
      </c>
      <c r="W57" s="47">
        <v>0</v>
      </c>
      <c r="X57" s="46">
        <v>0</v>
      </c>
      <c r="Y57" s="47">
        <v>0</v>
      </c>
      <c r="Z57" s="45">
        <v>5</v>
      </c>
      <c r="AA57" s="46">
        <v>0</v>
      </c>
      <c r="AB57" s="47">
        <v>0</v>
      </c>
      <c r="AC57" s="46">
        <v>1</v>
      </c>
      <c r="AD57" s="47">
        <v>0</v>
      </c>
      <c r="AE57" s="45">
        <v>6</v>
      </c>
    </row>
    <row r="58" spans="2:31">
      <c r="B58" s="428"/>
      <c r="C58" s="424"/>
      <c r="D58" s="424"/>
      <c r="E58" s="424" t="s">
        <v>146</v>
      </c>
      <c r="F58" s="45">
        <v>0</v>
      </c>
      <c r="G58" s="46">
        <v>0</v>
      </c>
      <c r="H58" s="47">
        <v>0</v>
      </c>
      <c r="I58" s="46">
        <v>0</v>
      </c>
      <c r="J58" s="48">
        <v>0</v>
      </c>
      <c r="K58" s="45">
        <v>0</v>
      </c>
      <c r="L58" s="46">
        <v>0</v>
      </c>
      <c r="M58" s="47">
        <v>0</v>
      </c>
      <c r="N58" s="46">
        <v>0</v>
      </c>
      <c r="O58" s="48">
        <v>0</v>
      </c>
      <c r="P58" s="45">
        <v>0</v>
      </c>
      <c r="Q58" s="46">
        <v>0</v>
      </c>
      <c r="R58" s="47">
        <v>0</v>
      </c>
      <c r="S58" s="46">
        <v>0</v>
      </c>
      <c r="T58" s="48">
        <v>0</v>
      </c>
      <c r="U58" s="429">
        <v>0</v>
      </c>
      <c r="V58" s="46">
        <v>0</v>
      </c>
      <c r="W58" s="47">
        <v>0</v>
      </c>
      <c r="X58" s="46">
        <v>0</v>
      </c>
      <c r="Y58" s="47">
        <v>0</v>
      </c>
      <c r="Z58" s="45">
        <v>0</v>
      </c>
      <c r="AA58" s="46">
        <v>0</v>
      </c>
      <c r="AB58" s="47">
        <v>0</v>
      </c>
      <c r="AC58" s="46">
        <v>0</v>
      </c>
      <c r="AD58" s="47">
        <v>0</v>
      </c>
      <c r="AE58" s="45">
        <v>0</v>
      </c>
    </row>
    <row r="59" spans="2:31">
      <c r="B59" s="428"/>
      <c r="C59" s="424"/>
      <c r="D59" s="424"/>
      <c r="E59" s="424" t="s">
        <v>147</v>
      </c>
      <c r="F59" s="45">
        <v>0</v>
      </c>
      <c r="G59" s="46">
        <v>0</v>
      </c>
      <c r="H59" s="47">
        <v>0</v>
      </c>
      <c r="I59" s="46">
        <v>0</v>
      </c>
      <c r="J59" s="48">
        <v>0</v>
      </c>
      <c r="K59" s="45">
        <v>0</v>
      </c>
      <c r="L59" s="46">
        <v>0</v>
      </c>
      <c r="M59" s="47">
        <v>0</v>
      </c>
      <c r="N59" s="46">
        <v>0</v>
      </c>
      <c r="O59" s="48">
        <v>0</v>
      </c>
      <c r="P59" s="45">
        <v>0</v>
      </c>
      <c r="Q59" s="46">
        <v>0</v>
      </c>
      <c r="R59" s="47">
        <v>0</v>
      </c>
      <c r="S59" s="46">
        <v>0</v>
      </c>
      <c r="T59" s="48">
        <v>0</v>
      </c>
      <c r="U59" s="429">
        <v>0</v>
      </c>
      <c r="V59" s="46">
        <v>0</v>
      </c>
      <c r="W59" s="47">
        <v>0</v>
      </c>
      <c r="X59" s="46">
        <v>0</v>
      </c>
      <c r="Y59" s="47">
        <v>0</v>
      </c>
      <c r="Z59" s="45">
        <v>0</v>
      </c>
      <c r="AA59" s="46">
        <v>0</v>
      </c>
      <c r="AB59" s="47">
        <v>0</v>
      </c>
      <c r="AC59" s="46">
        <v>0</v>
      </c>
      <c r="AD59" s="47">
        <v>0</v>
      </c>
      <c r="AE59" s="45">
        <v>0</v>
      </c>
    </row>
    <row r="60" spans="2:31">
      <c r="B60" s="428"/>
      <c r="C60" s="424"/>
      <c r="D60" s="426"/>
      <c r="E60" s="424" t="s">
        <v>148</v>
      </c>
      <c r="F60" s="45">
        <v>0</v>
      </c>
      <c r="G60" s="46">
        <v>0</v>
      </c>
      <c r="H60" s="47">
        <v>0</v>
      </c>
      <c r="I60" s="46">
        <v>0</v>
      </c>
      <c r="J60" s="48">
        <v>0</v>
      </c>
      <c r="K60" s="45">
        <v>0</v>
      </c>
      <c r="L60" s="46">
        <v>0</v>
      </c>
      <c r="M60" s="47">
        <v>0</v>
      </c>
      <c r="N60" s="46">
        <v>0</v>
      </c>
      <c r="O60" s="48">
        <v>0</v>
      </c>
      <c r="P60" s="45">
        <v>0</v>
      </c>
      <c r="Q60" s="46">
        <v>0</v>
      </c>
      <c r="R60" s="47">
        <v>0</v>
      </c>
      <c r="S60" s="46">
        <v>0</v>
      </c>
      <c r="T60" s="48">
        <v>0</v>
      </c>
      <c r="U60" s="429">
        <v>0</v>
      </c>
      <c r="V60" s="46">
        <v>0</v>
      </c>
      <c r="W60" s="47">
        <v>0</v>
      </c>
      <c r="X60" s="46">
        <v>0</v>
      </c>
      <c r="Y60" s="47">
        <v>0</v>
      </c>
      <c r="Z60" s="45">
        <v>0</v>
      </c>
      <c r="AA60" s="46">
        <v>0</v>
      </c>
      <c r="AB60" s="47">
        <v>0</v>
      </c>
      <c r="AC60" s="46">
        <v>0</v>
      </c>
      <c r="AD60" s="47">
        <v>0</v>
      </c>
      <c r="AE60" s="45">
        <v>0</v>
      </c>
    </row>
    <row r="61" spans="2:31">
      <c r="B61" s="428"/>
      <c r="C61" s="424"/>
      <c r="D61" s="426"/>
      <c r="E61" s="424" t="s">
        <v>149</v>
      </c>
      <c r="F61" s="45">
        <v>0</v>
      </c>
      <c r="G61" s="46">
        <v>0</v>
      </c>
      <c r="H61" s="47">
        <v>0</v>
      </c>
      <c r="I61" s="46">
        <v>0</v>
      </c>
      <c r="J61" s="48">
        <v>0</v>
      </c>
      <c r="K61" s="45">
        <v>0</v>
      </c>
      <c r="L61" s="46">
        <v>0</v>
      </c>
      <c r="M61" s="47">
        <v>0</v>
      </c>
      <c r="N61" s="46">
        <v>0</v>
      </c>
      <c r="O61" s="48">
        <v>0</v>
      </c>
      <c r="P61" s="45">
        <v>0</v>
      </c>
      <c r="Q61" s="46">
        <v>0</v>
      </c>
      <c r="R61" s="47">
        <v>0</v>
      </c>
      <c r="S61" s="46">
        <v>0</v>
      </c>
      <c r="T61" s="48">
        <v>0</v>
      </c>
      <c r="U61" s="429">
        <v>0</v>
      </c>
      <c r="V61" s="46">
        <v>0</v>
      </c>
      <c r="W61" s="47">
        <v>0</v>
      </c>
      <c r="X61" s="46">
        <v>0</v>
      </c>
      <c r="Y61" s="47">
        <v>0</v>
      </c>
      <c r="Z61" s="45">
        <v>0</v>
      </c>
      <c r="AA61" s="46">
        <v>0</v>
      </c>
      <c r="AB61" s="47">
        <v>0</v>
      </c>
      <c r="AC61" s="46">
        <v>0</v>
      </c>
      <c r="AD61" s="47">
        <v>0</v>
      </c>
      <c r="AE61" s="45">
        <v>0</v>
      </c>
    </row>
    <row r="62" spans="2:31">
      <c r="B62" s="428"/>
      <c r="C62" s="424"/>
      <c r="D62" s="426"/>
      <c r="E62" s="424" t="s">
        <v>150</v>
      </c>
      <c r="F62" s="45">
        <v>0</v>
      </c>
      <c r="G62" s="46">
        <v>0</v>
      </c>
      <c r="H62" s="47">
        <v>0</v>
      </c>
      <c r="I62" s="46">
        <v>0</v>
      </c>
      <c r="J62" s="48">
        <v>0</v>
      </c>
      <c r="K62" s="45">
        <v>0</v>
      </c>
      <c r="L62" s="46">
        <v>0</v>
      </c>
      <c r="M62" s="47">
        <v>0</v>
      </c>
      <c r="N62" s="46">
        <v>0</v>
      </c>
      <c r="O62" s="48">
        <v>0</v>
      </c>
      <c r="P62" s="45">
        <v>0</v>
      </c>
      <c r="Q62" s="46">
        <v>0</v>
      </c>
      <c r="R62" s="47">
        <v>0</v>
      </c>
      <c r="S62" s="46">
        <v>0</v>
      </c>
      <c r="T62" s="48">
        <v>0</v>
      </c>
      <c r="U62" s="429">
        <v>0</v>
      </c>
      <c r="V62" s="46">
        <v>0</v>
      </c>
      <c r="W62" s="47">
        <v>0</v>
      </c>
      <c r="X62" s="46">
        <v>0</v>
      </c>
      <c r="Y62" s="47">
        <v>0</v>
      </c>
      <c r="Z62" s="45">
        <v>0</v>
      </c>
      <c r="AA62" s="46">
        <v>0</v>
      </c>
      <c r="AB62" s="47">
        <v>0</v>
      </c>
      <c r="AC62" s="46">
        <v>0</v>
      </c>
      <c r="AD62" s="47">
        <v>0</v>
      </c>
      <c r="AE62" s="45">
        <v>0</v>
      </c>
    </row>
    <row r="63" spans="2:31">
      <c r="B63" s="428"/>
      <c r="C63" s="424"/>
      <c r="D63" s="426"/>
      <c r="E63" s="424" t="s">
        <v>151</v>
      </c>
      <c r="F63" s="45">
        <v>0</v>
      </c>
      <c r="G63" s="46">
        <v>0</v>
      </c>
      <c r="H63" s="47">
        <v>0</v>
      </c>
      <c r="I63" s="46">
        <v>0</v>
      </c>
      <c r="J63" s="48">
        <v>0</v>
      </c>
      <c r="K63" s="45">
        <v>0</v>
      </c>
      <c r="L63" s="46">
        <v>0</v>
      </c>
      <c r="M63" s="47">
        <v>0</v>
      </c>
      <c r="N63" s="46">
        <v>0</v>
      </c>
      <c r="O63" s="48">
        <v>0</v>
      </c>
      <c r="P63" s="45">
        <v>0</v>
      </c>
      <c r="Q63" s="46">
        <v>0</v>
      </c>
      <c r="R63" s="47">
        <v>0</v>
      </c>
      <c r="S63" s="46">
        <v>0</v>
      </c>
      <c r="T63" s="48">
        <v>0</v>
      </c>
      <c r="U63" s="429">
        <v>0</v>
      </c>
      <c r="V63" s="46">
        <v>0</v>
      </c>
      <c r="W63" s="47">
        <v>0</v>
      </c>
      <c r="X63" s="46">
        <v>0</v>
      </c>
      <c r="Y63" s="47">
        <v>0</v>
      </c>
      <c r="Z63" s="45">
        <v>0</v>
      </c>
      <c r="AA63" s="46">
        <v>0</v>
      </c>
      <c r="AB63" s="47">
        <v>0</v>
      </c>
      <c r="AC63" s="46">
        <v>0</v>
      </c>
      <c r="AD63" s="47">
        <v>0</v>
      </c>
      <c r="AE63" s="45">
        <v>0</v>
      </c>
    </row>
    <row r="64" spans="2:31">
      <c r="B64" s="428"/>
      <c r="C64" s="424"/>
      <c r="D64" s="426"/>
      <c r="E64" s="424" t="s">
        <v>152</v>
      </c>
      <c r="F64" s="45">
        <v>0</v>
      </c>
      <c r="G64" s="46">
        <v>0</v>
      </c>
      <c r="H64" s="47">
        <v>0</v>
      </c>
      <c r="I64" s="46">
        <v>0</v>
      </c>
      <c r="J64" s="48">
        <v>0</v>
      </c>
      <c r="K64" s="45">
        <v>0</v>
      </c>
      <c r="L64" s="46">
        <v>0</v>
      </c>
      <c r="M64" s="47">
        <v>0</v>
      </c>
      <c r="N64" s="46">
        <v>0</v>
      </c>
      <c r="O64" s="48">
        <v>0</v>
      </c>
      <c r="P64" s="45">
        <v>0</v>
      </c>
      <c r="Q64" s="46">
        <v>0</v>
      </c>
      <c r="R64" s="47">
        <v>0</v>
      </c>
      <c r="S64" s="46">
        <v>0</v>
      </c>
      <c r="T64" s="48">
        <v>0</v>
      </c>
      <c r="U64" s="429">
        <v>0</v>
      </c>
      <c r="V64" s="46">
        <v>0</v>
      </c>
      <c r="W64" s="47">
        <v>0</v>
      </c>
      <c r="X64" s="46">
        <v>0</v>
      </c>
      <c r="Y64" s="47">
        <v>0</v>
      </c>
      <c r="Z64" s="45">
        <v>0</v>
      </c>
      <c r="AA64" s="46">
        <v>0</v>
      </c>
      <c r="AB64" s="47">
        <v>0</v>
      </c>
      <c r="AC64" s="46">
        <v>0</v>
      </c>
      <c r="AD64" s="47">
        <v>0</v>
      </c>
      <c r="AE64" s="45">
        <v>0</v>
      </c>
    </row>
    <row r="65" spans="2:31">
      <c r="B65" s="428"/>
      <c r="C65" s="424"/>
      <c r="D65" s="426"/>
      <c r="E65" s="424"/>
      <c r="F65" s="49"/>
      <c r="G65" s="50"/>
      <c r="H65" s="51"/>
      <c r="I65" s="50"/>
      <c r="J65" s="52"/>
      <c r="K65" s="49"/>
      <c r="L65" s="50"/>
      <c r="M65" s="51"/>
      <c r="N65" s="50"/>
      <c r="O65" s="52"/>
      <c r="P65" s="49"/>
      <c r="Q65" s="50"/>
      <c r="R65" s="51"/>
      <c r="S65" s="50"/>
      <c r="T65" s="52"/>
      <c r="U65" s="430"/>
      <c r="V65" s="50"/>
      <c r="W65" s="51"/>
      <c r="X65" s="50"/>
      <c r="Y65" s="51"/>
      <c r="Z65" s="49"/>
      <c r="AA65" s="50"/>
      <c r="AB65" s="51"/>
      <c r="AC65" s="50"/>
      <c r="AD65" s="51"/>
      <c r="AE65" s="49"/>
    </row>
    <row r="66" spans="2:31">
      <c r="B66" s="428"/>
      <c r="C66" s="424"/>
      <c r="D66" s="426" t="s">
        <v>153</v>
      </c>
      <c r="E66" s="424"/>
      <c r="F66" s="49"/>
      <c r="G66" s="50"/>
      <c r="H66" s="51"/>
      <c r="I66" s="50"/>
      <c r="J66" s="52"/>
      <c r="K66" s="49"/>
      <c r="L66" s="50"/>
      <c r="M66" s="51"/>
      <c r="N66" s="50"/>
      <c r="O66" s="52"/>
      <c r="P66" s="49"/>
      <c r="Q66" s="50"/>
      <c r="R66" s="51"/>
      <c r="S66" s="50"/>
      <c r="T66" s="52"/>
      <c r="U66" s="430"/>
      <c r="V66" s="50"/>
      <c r="W66" s="51"/>
      <c r="X66" s="50"/>
      <c r="Y66" s="51"/>
      <c r="Z66" s="49"/>
      <c r="AA66" s="50"/>
      <c r="AB66" s="51"/>
      <c r="AC66" s="50"/>
      <c r="AD66" s="51"/>
      <c r="AE66" s="49"/>
    </row>
    <row r="67" spans="2:31">
      <c r="B67" s="428"/>
      <c r="C67" s="424"/>
      <c r="D67" s="426"/>
      <c r="E67" s="424" t="s">
        <v>154</v>
      </c>
      <c r="F67" s="45">
        <v>17288.090534979423</v>
      </c>
      <c r="G67" s="46">
        <v>0</v>
      </c>
      <c r="H67" s="47">
        <v>314</v>
      </c>
      <c r="I67" s="46">
        <v>26</v>
      </c>
      <c r="J67" s="48">
        <v>130</v>
      </c>
      <c r="K67" s="45">
        <v>17130.090534979423</v>
      </c>
      <c r="L67" s="46">
        <v>0</v>
      </c>
      <c r="M67" s="47">
        <v>256</v>
      </c>
      <c r="N67" s="46">
        <v>12</v>
      </c>
      <c r="O67" s="48">
        <v>160</v>
      </c>
      <c r="P67" s="45">
        <v>17046.090534979423</v>
      </c>
      <c r="Q67" s="46">
        <v>0</v>
      </c>
      <c r="R67" s="47">
        <v>187</v>
      </c>
      <c r="S67" s="46">
        <v>0</v>
      </c>
      <c r="T67" s="48">
        <v>113.90946502057614</v>
      </c>
      <c r="U67" s="429">
        <v>16973</v>
      </c>
      <c r="V67" s="46">
        <v>0</v>
      </c>
      <c r="W67" s="47">
        <v>223</v>
      </c>
      <c r="X67" s="46">
        <v>8</v>
      </c>
      <c r="Y67" s="47">
        <v>165</v>
      </c>
      <c r="Z67" s="45">
        <v>16923</v>
      </c>
      <c r="AA67" s="46">
        <v>0</v>
      </c>
      <c r="AB67" s="47">
        <v>84.115724403171711</v>
      </c>
      <c r="AC67" s="46">
        <v>5</v>
      </c>
      <c r="AD67" s="47">
        <v>86.115724403171711</v>
      </c>
      <c r="AE67" s="45">
        <v>16930</v>
      </c>
    </row>
    <row r="68" spans="2:31">
      <c r="B68" s="428"/>
      <c r="C68" s="424"/>
      <c r="D68" s="426"/>
      <c r="E68" s="424" t="s">
        <v>155</v>
      </c>
      <c r="F68" s="45">
        <v>16669</v>
      </c>
      <c r="G68" s="46">
        <v>0</v>
      </c>
      <c r="H68" s="47">
        <v>314</v>
      </c>
      <c r="I68" s="46">
        <v>26</v>
      </c>
      <c r="J68" s="48">
        <v>130</v>
      </c>
      <c r="K68" s="45">
        <v>16511</v>
      </c>
      <c r="L68" s="46">
        <v>0</v>
      </c>
      <c r="M68" s="47">
        <v>129</v>
      </c>
      <c r="N68" s="46">
        <v>10</v>
      </c>
      <c r="O68" s="48">
        <v>35</v>
      </c>
      <c r="P68" s="45">
        <v>16427</v>
      </c>
      <c r="Q68" s="46">
        <v>0</v>
      </c>
      <c r="R68" s="47">
        <v>164</v>
      </c>
      <c r="S68" s="46">
        <v>8</v>
      </c>
      <c r="T68" s="48">
        <v>122</v>
      </c>
      <c r="U68" s="429">
        <v>16393</v>
      </c>
      <c r="V68" s="46">
        <v>0</v>
      </c>
      <c r="W68" s="47">
        <v>227</v>
      </c>
      <c r="X68" s="46">
        <v>4</v>
      </c>
      <c r="Y68" s="47">
        <v>109</v>
      </c>
      <c r="Z68" s="45">
        <v>16279</v>
      </c>
      <c r="AA68" s="46">
        <v>0</v>
      </c>
      <c r="AB68" s="47">
        <v>140.7268895</v>
      </c>
      <c r="AC68" s="46">
        <v>0</v>
      </c>
      <c r="AD68" s="47">
        <v>123.7268895</v>
      </c>
      <c r="AE68" s="45">
        <v>16262</v>
      </c>
    </row>
    <row r="69" spans="2:31">
      <c r="B69" s="428"/>
      <c r="C69" s="424"/>
      <c r="D69" s="426"/>
      <c r="E69" s="424" t="s">
        <v>156</v>
      </c>
      <c r="F69" s="45">
        <v>0</v>
      </c>
      <c r="G69" s="46">
        <v>0</v>
      </c>
      <c r="H69" s="47">
        <v>0</v>
      </c>
      <c r="I69" s="46">
        <v>0</v>
      </c>
      <c r="J69" s="48">
        <v>0</v>
      </c>
      <c r="K69" s="45">
        <v>0</v>
      </c>
      <c r="L69" s="46">
        <v>0</v>
      </c>
      <c r="M69" s="47">
        <v>0</v>
      </c>
      <c r="N69" s="46">
        <v>0</v>
      </c>
      <c r="O69" s="48">
        <v>0</v>
      </c>
      <c r="P69" s="45">
        <v>0</v>
      </c>
      <c r="Q69" s="46">
        <v>0</v>
      </c>
      <c r="R69" s="47">
        <v>0</v>
      </c>
      <c r="S69" s="46">
        <v>0</v>
      </c>
      <c r="T69" s="48">
        <v>0</v>
      </c>
      <c r="U69" s="429">
        <v>0</v>
      </c>
      <c r="V69" s="46">
        <v>0</v>
      </c>
      <c r="W69" s="47">
        <v>0</v>
      </c>
      <c r="X69" s="46">
        <v>0</v>
      </c>
      <c r="Y69" s="47">
        <v>0</v>
      </c>
      <c r="Z69" s="45">
        <v>0</v>
      </c>
      <c r="AA69" s="46">
        <v>0</v>
      </c>
      <c r="AB69" s="47">
        <v>0</v>
      </c>
      <c r="AC69" s="46">
        <v>0</v>
      </c>
      <c r="AD69" s="47">
        <v>0</v>
      </c>
      <c r="AE69" s="45">
        <v>0</v>
      </c>
    </row>
    <row r="70" spans="2:31">
      <c r="B70" s="428"/>
      <c r="C70" s="424"/>
      <c r="D70" s="426"/>
      <c r="E70" s="424" t="s">
        <v>157</v>
      </c>
      <c r="F70" s="45">
        <v>0</v>
      </c>
      <c r="G70" s="46">
        <v>0</v>
      </c>
      <c r="H70" s="47">
        <v>0</v>
      </c>
      <c r="I70" s="46">
        <v>0</v>
      </c>
      <c r="J70" s="48">
        <v>0</v>
      </c>
      <c r="K70" s="45">
        <v>0</v>
      </c>
      <c r="L70" s="46">
        <v>0</v>
      </c>
      <c r="M70" s="47">
        <v>0</v>
      </c>
      <c r="N70" s="46">
        <v>0</v>
      </c>
      <c r="O70" s="48">
        <v>0</v>
      </c>
      <c r="P70" s="45">
        <v>0</v>
      </c>
      <c r="Q70" s="46">
        <v>0</v>
      </c>
      <c r="R70" s="47">
        <v>0</v>
      </c>
      <c r="S70" s="46">
        <v>0</v>
      </c>
      <c r="T70" s="48">
        <v>0</v>
      </c>
      <c r="U70" s="429">
        <v>0</v>
      </c>
      <c r="V70" s="46">
        <v>0</v>
      </c>
      <c r="W70" s="47">
        <v>0</v>
      </c>
      <c r="X70" s="46">
        <v>0</v>
      </c>
      <c r="Y70" s="47">
        <v>0</v>
      </c>
      <c r="Z70" s="45">
        <v>0</v>
      </c>
      <c r="AA70" s="46">
        <v>0</v>
      </c>
      <c r="AB70" s="47">
        <v>0</v>
      </c>
      <c r="AC70" s="46">
        <v>0</v>
      </c>
      <c r="AD70" s="47">
        <v>0</v>
      </c>
      <c r="AE70" s="45">
        <v>0</v>
      </c>
    </row>
    <row r="71" spans="2:31" ht="15.75" thickBot="1">
      <c r="B71" s="431"/>
      <c r="C71" s="432"/>
      <c r="D71" s="432"/>
      <c r="E71" s="432"/>
      <c r="F71" s="53"/>
      <c r="G71" s="54"/>
      <c r="H71" s="55"/>
      <c r="I71" s="54"/>
      <c r="J71" s="56"/>
      <c r="K71" s="57"/>
      <c r="L71" s="54"/>
      <c r="M71" s="55"/>
      <c r="N71" s="54"/>
      <c r="O71" s="56"/>
      <c r="P71" s="57"/>
      <c r="Q71" s="54"/>
      <c r="R71" s="55"/>
      <c r="S71" s="54"/>
      <c r="T71" s="56"/>
      <c r="U71" s="433"/>
      <c r="V71" s="54"/>
      <c r="W71" s="55"/>
      <c r="X71" s="54"/>
      <c r="Y71" s="55"/>
      <c r="Z71" s="57"/>
      <c r="AA71" s="54"/>
      <c r="AB71" s="55"/>
      <c r="AC71" s="54"/>
      <c r="AD71" s="55"/>
      <c r="AE71" s="57"/>
    </row>
    <row r="72" spans="2:31">
      <c r="B72" s="434"/>
      <c r="C72" s="435" t="s">
        <v>158</v>
      </c>
      <c r="D72" s="435"/>
      <c r="E72" s="436"/>
      <c r="F72" s="58"/>
      <c r="G72" s="59"/>
      <c r="H72" s="60"/>
      <c r="I72" s="59"/>
      <c r="J72" s="61"/>
      <c r="K72" s="58"/>
      <c r="L72" s="59"/>
      <c r="M72" s="60"/>
      <c r="N72" s="59"/>
      <c r="O72" s="61"/>
      <c r="P72" s="58"/>
      <c r="Q72" s="59"/>
      <c r="R72" s="60"/>
      <c r="S72" s="59"/>
      <c r="T72" s="61"/>
      <c r="U72" s="437"/>
      <c r="V72" s="59"/>
      <c r="W72" s="60"/>
      <c r="X72" s="59"/>
      <c r="Y72" s="60"/>
      <c r="Z72" s="58"/>
      <c r="AA72" s="59"/>
      <c r="AB72" s="60"/>
      <c r="AC72" s="59"/>
      <c r="AD72" s="60"/>
      <c r="AE72" s="58"/>
    </row>
    <row r="73" spans="2:31">
      <c r="B73" s="428"/>
      <c r="C73" s="424"/>
      <c r="D73" s="426" t="s">
        <v>110</v>
      </c>
      <c r="E73" s="424"/>
      <c r="F73" s="49"/>
      <c r="G73" s="50"/>
      <c r="H73" s="51"/>
      <c r="I73" s="50"/>
      <c r="J73" s="52"/>
      <c r="K73" s="49"/>
      <c r="L73" s="50"/>
      <c r="M73" s="51"/>
      <c r="N73" s="50"/>
      <c r="O73" s="52"/>
      <c r="P73" s="49"/>
      <c r="Q73" s="50"/>
      <c r="R73" s="51"/>
      <c r="S73" s="50"/>
      <c r="T73" s="52"/>
      <c r="U73" s="430"/>
      <c r="V73" s="50"/>
      <c r="W73" s="51"/>
      <c r="X73" s="50"/>
      <c r="Y73" s="51"/>
      <c r="Z73" s="49"/>
      <c r="AA73" s="50"/>
      <c r="AB73" s="51"/>
      <c r="AC73" s="50"/>
      <c r="AD73" s="51"/>
      <c r="AE73" s="49"/>
    </row>
    <row r="74" spans="2:31">
      <c r="B74" s="428"/>
      <c r="C74" s="424"/>
      <c r="D74" s="424"/>
      <c r="E74" s="424" t="s">
        <v>159</v>
      </c>
      <c r="F74" s="45">
        <v>1048.5</v>
      </c>
      <c r="G74" s="46">
        <v>0</v>
      </c>
      <c r="H74" s="47">
        <v>1</v>
      </c>
      <c r="I74" s="46">
        <v>0</v>
      </c>
      <c r="J74" s="48">
        <v>0</v>
      </c>
      <c r="K74" s="45">
        <v>1047.5</v>
      </c>
      <c r="L74" s="46">
        <v>0</v>
      </c>
      <c r="M74" s="47">
        <v>0</v>
      </c>
      <c r="N74" s="46">
        <v>0</v>
      </c>
      <c r="O74" s="48">
        <v>2</v>
      </c>
      <c r="P74" s="45">
        <v>1049.5</v>
      </c>
      <c r="Q74" s="46">
        <v>0</v>
      </c>
      <c r="R74" s="47">
        <v>0</v>
      </c>
      <c r="S74" s="46">
        <v>0</v>
      </c>
      <c r="T74" s="48">
        <v>4.5</v>
      </c>
      <c r="U74" s="429">
        <v>1054</v>
      </c>
      <c r="V74" s="46">
        <v>0</v>
      </c>
      <c r="W74" s="47">
        <v>0</v>
      </c>
      <c r="X74" s="46">
        <v>0</v>
      </c>
      <c r="Y74" s="47">
        <v>0</v>
      </c>
      <c r="Z74" s="45">
        <v>1054</v>
      </c>
      <c r="AA74" s="46">
        <v>0</v>
      </c>
      <c r="AB74" s="47">
        <v>8.1</v>
      </c>
      <c r="AC74" s="46">
        <v>0</v>
      </c>
      <c r="AD74" s="47">
        <v>4.5</v>
      </c>
      <c r="AE74" s="45">
        <v>1050.4000000000001</v>
      </c>
    </row>
    <row r="75" spans="2:31">
      <c r="B75" s="428"/>
      <c r="C75" s="424"/>
      <c r="D75" s="426"/>
      <c r="E75" s="424" t="s">
        <v>160</v>
      </c>
      <c r="F75" s="45">
        <v>307.27</v>
      </c>
      <c r="G75" s="46">
        <v>0</v>
      </c>
      <c r="H75" s="47">
        <v>0</v>
      </c>
      <c r="I75" s="46">
        <v>0</v>
      </c>
      <c r="J75" s="48">
        <v>0</v>
      </c>
      <c r="K75" s="45">
        <v>307.27</v>
      </c>
      <c r="L75" s="46">
        <v>0</v>
      </c>
      <c r="M75" s="47">
        <v>0</v>
      </c>
      <c r="N75" s="46">
        <v>0</v>
      </c>
      <c r="O75" s="48">
        <v>0</v>
      </c>
      <c r="P75" s="45">
        <v>307.27</v>
      </c>
      <c r="Q75" s="46">
        <v>0</v>
      </c>
      <c r="R75" s="47">
        <v>0</v>
      </c>
      <c r="S75" s="46">
        <v>0</v>
      </c>
      <c r="T75" s="48">
        <v>0</v>
      </c>
      <c r="U75" s="429">
        <v>307.27</v>
      </c>
      <c r="V75" s="46">
        <v>0</v>
      </c>
      <c r="W75" s="47">
        <v>0</v>
      </c>
      <c r="X75" s="46">
        <v>0</v>
      </c>
      <c r="Y75" s="47">
        <v>1.73</v>
      </c>
      <c r="Z75" s="45">
        <v>309</v>
      </c>
      <c r="AA75" s="46">
        <v>0</v>
      </c>
      <c r="AB75" s="47">
        <v>0</v>
      </c>
      <c r="AC75" s="46">
        <v>0</v>
      </c>
      <c r="AD75" s="47">
        <v>0</v>
      </c>
      <c r="AE75" s="45">
        <v>309</v>
      </c>
    </row>
    <row r="76" spans="2:31">
      <c r="B76" s="428"/>
      <c r="C76" s="424"/>
      <c r="D76" s="426"/>
      <c r="E76" s="424" t="s">
        <v>161</v>
      </c>
      <c r="F76" s="45">
        <v>0</v>
      </c>
      <c r="G76" s="46">
        <v>0</v>
      </c>
      <c r="H76" s="47">
        <v>0</v>
      </c>
      <c r="I76" s="46">
        <v>0</v>
      </c>
      <c r="J76" s="48">
        <v>0</v>
      </c>
      <c r="K76" s="45">
        <v>0</v>
      </c>
      <c r="L76" s="46">
        <v>0</v>
      </c>
      <c r="M76" s="47">
        <v>0</v>
      </c>
      <c r="N76" s="46">
        <v>0</v>
      </c>
      <c r="O76" s="48">
        <v>0</v>
      </c>
      <c r="P76" s="45">
        <v>0</v>
      </c>
      <c r="Q76" s="46">
        <v>0</v>
      </c>
      <c r="R76" s="47">
        <v>0</v>
      </c>
      <c r="S76" s="46">
        <v>0</v>
      </c>
      <c r="T76" s="48">
        <v>0</v>
      </c>
      <c r="U76" s="429">
        <v>0</v>
      </c>
      <c r="V76" s="46">
        <v>0</v>
      </c>
      <c r="W76" s="47">
        <v>0</v>
      </c>
      <c r="X76" s="46">
        <v>0</v>
      </c>
      <c r="Y76" s="47">
        <v>0</v>
      </c>
      <c r="Z76" s="45">
        <v>0</v>
      </c>
      <c r="AA76" s="46">
        <v>0</v>
      </c>
      <c r="AB76" s="47">
        <v>0</v>
      </c>
      <c r="AC76" s="46">
        <v>0</v>
      </c>
      <c r="AD76" s="47">
        <v>0</v>
      </c>
      <c r="AE76" s="45">
        <v>0</v>
      </c>
    </row>
    <row r="77" spans="2:31">
      <c r="B77" s="428"/>
      <c r="C77" s="424"/>
      <c r="D77" s="426"/>
      <c r="E77" s="424" t="s">
        <v>162</v>
      </c>
      <c r="F77" s="45">
        <v>0</v>
      </c>
      <c r="G77" s="46">
        <v>0</v>
      </c>
      <c r="H77" s="47">
        <v>0</v>
      </c>
      <c r="I77" s="46">
        <v>0</v>
      </c>
      <c r="J77" s="48">
        <v>0</v>
      </c>
      <c r="K77" s="45">
        <v>0</v>
      </c>
      <c r="L77" s="46">
        <v>0</v>
      </c>
      <c r="M77" s="47">
        <v>0</v>
      </c>
      <c r="N77" s="46">
        <v>0</v>
      </c>
      <c r="O77" s="48">
        <v>0</v>
      </c>
      <c r="P77" s="45">
        <v>0</v>
      </c>
      <c r="Q77" s="46">
        <v>0</v>
      </c>
      <c r="R77" s="47">
        <v>0</v>
      </c>
      <c r="S77" s="46">
        <v>0</v>
      </c>
      <c r="T77" s="48">
        <v>0</v>
      </c>
      <c r="U77" s="429">
        <v>0</v>
      </c>
      <c r="V77" s="46">
        <v>0</v>
      </c>
      <c r="W77" s="47">
        <v>0</v>
      </c>
      <c r="X77" s="46">
        <v>0</v>
      </c>
      <c r="Y77" s="47">
        <v>0</v>
      </c>
      <c r="Z77" s="45">
        <v>0</v>
      </c>
      <c r="AA77" s="46">
        <v>0</v>
      </c>
      <c r="AB77" s="47">
        <v>0</v>
      </c>
      <c r="AC77" s="46">
        <v>0</v>
      </c>
      <c r="AD77" s="47">
        <v>0</v>
      </c>
      <c r="AE77" s="45">
        <v>0</v>
      </c>
    </row>
    <row r="78" spans="2:31">
      <c r="B78" s="428"/>
      <c r="C78" s="424"/>
      <c r="D78" s="426"/>
      <c r="E78" s="424"/>
      <c r="F78" s="49"/>
      <c r="G78" s="50"/>
      <c r="H78" s="51"/>
      <c r="I78" s="50"/>
      <c r="J78" s="52"/>
      <c r="K78" s="49"/>
      <c r="L78" s="50"/>
      <c r="M78" s="51"/>
      <c r="N78" s="50"/>
      <c r="O78" s="52"/>
      <c r="P78" s="49"/>
      <c r="Q78" s="50"/>
      <c r="R78" s="51"/>
      <c r="S78" s="50"/>
      <c r="T78" s="52"/>
      <c r="U78" s="430"/>
      <c r="V78" s="50"/>
      <c r="W78" s="51"/>
      <c r="X78" s="50"/>
      <c r="Y78" s="51"/>
      <c r="Z78" s="49"/>
      <c r="AA78" s="50"/>
      <c r="AB78" s="51"/>
      <c r="AC78" s="50"/>
      <c r="AD78" s="51"/>
      <c r="AE78" s="49"/>
    </row>
    <row r="79" spans="2:31">
      <c r="B79" s="428"/>
      <c r="C79" s="424"/>
      <c r="D79" s="426" t="s">
        <v>113</v>
      </c>
      <c r="E79" s="424"/>
      <c r="F79" s="49"/>
      <c r="G79" s="50"/>
      <c r="H79" s="51"/>
      <c r="I79" s="50"/>
      <c r="J79" s="52"/>
      <c r="K79" s="49"/>
      <c r="L79" s="50"/>
      <c r="M79" s="51"/>
      <c r="N79" s="50"/>
      <c r="O79" s="52"/>
      <c r="P79" s="49"/>
      <c r="Q79" s="50"/>
      <c r="R79" s="51"/>
      <c r="S79" s="50"/>
      <c r="T79" s="52"/>
      <c r="U79" s="430"/>
      <c r="V79" s="50"/>
      <c r="W79" s="51"/>
      <c r="X79" s="50"/>
      <c r="Y79" s="51"/>
      <c r="Z79" s="49"/>
      <c r="AA79" s="50"/>
      <c r="AB79" s="51"/>
      <c r="AC79" s="50"/>
      <c r="AD79" s="51"/>
      <c r="AE79" s="49"/>
    </row>
    <row r="80" spans="2:31">
      <c r="B80" s="428"/>
      <c r="C80" s="424"/>
      <c r="D80" s="424"/>
      <c r="E80" s="424" t="s">
        <v>163</v>
      </c>
      <c r="F80" s="45">
        <v>11968.818146532947</v>
      </c>
      <c r="G80" s="46">
        <v>0</v>
      </c>
      <c r="H80" s="47">
        <v>0</v>
      </c>
      <c r="I80" s="46">
        <v>556</v>
      </c>
      <c r="J80" s="48">
        <v>62.166666666666671</v>
      </c>
      <c r="K80" s="45">
        <v>12586.984813199613</v>
      </c>
      <c r="L80" s="46">
        <v>0</v>
      </c>
      <c r="M80" s="47">
        <v>0</v>
      </c>
      <c r="N80" s="46">
        <v>0</v>
      </c>
      <c r="O80" s="48">
        <v>0</v>
      </c>
      <c r="P80" s="45">
        <v>12586.984813199613</v>
      </c>
      <c r="Q80" s="46">
        <v>0</v>
      </c>
      <c r="R80" s="47">
        <v>56</v>
      </c>
      <c r="S80" s="46">
        <v>0</v>
      </c>
      <c r="T80" s="48">
        <v>50</v>
      </c>
      <c r="U80" s="429">
        <v>12580.984813199613</v>
      </c>
      <c r="V80" s="46">
        <v>0</v>
      </c>
      <c r="W80" s="47">
        <v>10.984813199613496</v>
      </c>
      <c r="X80" s="46">
        <v>0</v>
      </c>
      <c r="Y80" s="47">
        <v>11</v>
      </c>
      <c r="Z80" s="45">
        <v>12581</v>
      </c>
      <c r="AA80" s="46">
        <v>0</v>
      </c>
      <c r="AB80" s="47">
        <v>106</v>
      </c>
      <c r="AC80" s="46">
        <v>0</v>
      </c>
      <c r="AD80" s="47">
        <v>25</v>
      </c>
      <c r="AE80" s="45">
        <v>12500</v>
      </c>
    </row>
    <row r="81" spans="2:31">
      <c r="B81" s="428"/>
      <c r="C81" s="424"/>
      <c r="D81" s="424"/>
      <c r="E81" s="424" t="s">
        <v>164</v>
      </c>
      <c r="F81" s="45">
        <v>792</v>
      </c>
      <c r="G81" s="46">
        <v>0</v>
      </c>
      <c r="H81" s="47">
        <v>0</v>
      </c>
      <c r="I81" s="46">
        <v>0</v>
      </c>
      <c r="J81" s="48">
        <v>0</v>
      </c>
      <c r="K81" s="45">
        <v>792</v>
      </c>
      <c r="L81" s="46">
        <v>0</v>
      </c>
      <c r="M81" s="47">
        <v>0</v>
      </c>
      <c r="N81" s="46">
        <v>0</v>
      </c>
      <c r="O81" s="48">
        <v>0</v>
      </c>
      <c r="P81" s="45">
        <v>792</v>
      </c>
      <c r="Q81" s="46">
        <v>0</v>
      </c>
      <c r="R81" s="47">
        <v>81</v>
      </c>
      <c r="S81" s="46">
        <v>0</v>
      </c>
      <c r="T81" s="48">
        <v>0</v>
      </c>
      <c r="U81" s="429">
        <v>711</v>
      </c>
      <c r="V81" s="46">
        <v>0</v>
      </c>
      <c r="W81" s="47">
        <v>0</v>
      </c>
      <c r="X81" s="46">
        <v>0</v>
      </c>
      <c r="Y81" s="47">
        <v>0</v>
      </c>
      <c r="Z81" s="45">
        <v>711</v>
      </c>
      <c r="AA81" s="46">
        <v>0</v>
      </c>
      <c r="AB81" s="47">
        <v>0</v>
      </c>
      <c r="AC81" s="46">
        <v>0</v>
      </c>
      <c r="AD81" s="47">
        <v>0</v>
      </c>
      <c r="AE81" s="45">
        <v>711</v>
      </c>
    </row>
    <row r="82" spans="2:31">
      <c r="B82" s="428"/>
      <c r="C82" s="424"/>
      <c r="D82" s="426"/>
      <c r="E82" s="424" t="s">
        <v>165</v>
      </c>
      <c r="F82" s="45">
        <v>0</v>
      </c>
      <c r="G82" s="46">
        <v>0</v>
      </c>
      <c r="H82" s="47">
        <v>0</v>
      </c>
      <c r="I82" s="46">
        <v>0</v>
      </c>
      <c r="J82" s="48">
        <v>0</v>
      </c>
      <c r="K82" s="45">
        <v>0</v>
      </c>
      <c r="L82" s="46">
        <v>0</v>
      </c>
      <c r="M82" s="47">
        <v>0</v>
      </c>
      <c r="N82" s="46">
        <v>0</v>
      </c>
      <c r="O82" s="48">
        <v>0</v>
      </c>
      <c r="P82" s="45">
        <v>0</v>
      </c>
      <c r="Q82" s="46">
        <v>0</v>
      </c>
      <c r="R82" s="47">
        <v>0</v>
      </c>
      <c r="S82" s="46">
        <v>0</v>
      </c>
      <c r="T82" s="48">
        <v>0</v>
      </c>
      <c r="U82" s="429">
        <v>0</v>
      </c>
      <c r="V82" s="46">
        <v>0</v>
      </c>
      <c r="W82" s="47">
        <v>0</v>
      </c>
      <c r="X82" s="46">
        <v>0</v>
      </c>
      <c r="Y82" s="47">
        <v>0</v>
      </c>
      <c r="Z82" s="45">
        <v>0</v>
      </c>
      <c r="AA82" s="46">
        <v>0</v>
      </c>
      <c r="AB82" s="47">
        <v>0</v>
      </c>
      <c r="AC82" s="46">
        <v>0</v>
      </c>
      <c r="AD82" s="47">
        <v>0</v>
      </c>
      <c r="AE82" s="45">
        <v>0</v>
      </c>
    </row>
    <row r="83" spans="2:31">
      <c r="B83" s="428"/>
      <c r="C83" s="424"/>
      <c r="D83" s="426"/>
      <c r="E83" s="424" t="s">
        <v>166</v>
      </c>
      <c r="F83" s="45">
        <v>0</v>
      </c>
      <c r="G83" s="46">
        <v>0</v>
      </c>
      <c r="H83" s="47">
        <v>0</v>
      </c>
      <c r="I83" s="46">
        <v>0</v>
      </c>
      <c r="J83" s="48">
        <v>0</v>
      </c>
      <c r="K83" s="45">
        <v>0</v>
      </c>
      <c r="L83" s="46">
        <v>0</v>
      </c>
      <c r="M83" s="47">
        <v>0</v>
      </c>
      <c r="N83" s="46">
        <v>0</v>
      </c>
      <c r="O83" s="48">
        <v>0</v>
      </c>
      <c r="P83" s="45">
        <v>0</v>
      </c>
      <c r="Q83" s="46">
        <v>0</v>
      </c>
      <c r="R83" s="47">
        <v>0</v>
      </c>
      <c r="S83" s="46">
        <v>0</v>
      </c>
      <c r="T83" s="48">
        <v>0</v>
      </c>
      <c r="U83" s="429">
        <v>0</v>
      </c>
      <c r="V83" s="46">
        <v>0</v>
      </c>
      <c r="W83" s="47">
        <v>0</v>
      </c>
      <c r="X83" s="46">
        <v>0</v>
      </c>
      <c r="Y83" s="47">
        <v>0</v>
      </c>
      <c r="Z83" s="45">
        <v>0</v>
      </c>
      <c r="AA83" s="46">
        <v>0</v>
      </c>
      <c r="AB83" s="47">
        <v>0</v>
      </c>
      <c r="AC83" s="46">
        <v>0</v>
      </c>
      <c r="AD83" s="47">
        <v>0</v>
      </c>
      <c r="AE83" s="45">
        <v>0</v>
      </c>
    </row>
    <row r="84" spans="2:31">
      <c r="B84" s="428"/>
      <c r="C84" s="424"/>
      <c r="D84" s="424"/>
      <c r="E84" s="424"/>
      <c r="F84" s="49"/>
      <c r="G84" s="50"/>
      <c r="H84" s="51"/>
      <c r="I84" s="50"/>
      <c r="J84" s="52"/>
      <c r="K84" s="49"/>
      <c r="L84" s="50"/>
      <c r="M84" s="51"/>
      <c r="N84" s="50"/>
      <c r="O84" s="52"/>
      <c r="P84" s="49"/>
      <c r="Q84" s="50"/>
      <c r="R84" s="51"/>
      <c r="S84" s="50"/>
      <c r="T84" s="52"/>
      <c r="U84" s="430"/>
      <c r="V84" s="50"/>
      <c r="W84" s="51"/>
      <c r="X84" s="50"/>
      <c r="Y84" s="51"/>
      <c r="Z84" s="49"/>
      <c r="AA84" s="50"/>
      <c r="AB84" s="51"/>
      <c r="AC84" s="50"/>
      <c r="AD84" s="51"/>
      <c r="AE84" s="49"/>
    </row>
    <row r="85" spans="2:31">
      <c r="B85" s="422"/>
      <c r="C85" s="424"/>
      <c r="D85" s="426" t="s">
        <v>134</v>
      </c>
      <c r="E85" s="424"/>
      <c r="F85" s="49"/>
      <c r="G85" s="50"/>
      <c r="H85" s="51"/>
      <c r="I85" s="50"/>
      <c r="J85" s="52"/>
      <c r="K85" s="49"/>
      <c r="L85" s="50"/>
      <c r="M85" s="51"/>
      <c r="N85" s="50"/>
      <c r="O85" s="52"/>
      <c r="P85" s="49"/>
      <c r="Q85" s="50"/>
      <c r="R85" s="51"/>
      <c r="S85" s="50"/>
      <c r="T85" s="52"/>
      <c r="U85" s="430"/>
      <c r="V85" s="50"/>
      <c r="W85" s="51"/>
      <c r="X85" s="50"/>
      <c r="Y85" s="51"/>
      <c r="Z85" s="49"/>
      <c r="AA85" s="50"/>
      <c r="AB85" s="51"/>
      <c r="AC85" s="50"/>
      <c r="AD85" s="51"/>
      <c r="AE85" s="49"/>
    </row>
    <row r="86" spans="2:31">
      <c r="B86" s="422"/>
      <c r="C86" s="424"/>
      <c r="D86" s="426"/>
      <c r="E86" s="424" t="s">
        <v>167</v>
      </c>
      <c r="F86" s="45">
        <v>1504.8620296515498</v>
      </c>
      <c r="G86" s="46">
        <v>0</v>
      </c>
      <c r="H86" s="47">
        <v>0</v>
      </c>
      <c r="I86" s="46">
        <v>13.95</v>
      </c>
      <c r="J86" s="48">
        <v>7.7389999999999999</v>
      </c>
      <c r="K86" s="45">
        <v>1526.5510296515499</v>
      </c>
      <c r="L86" s="46">
        <v>0</v>
      </c>
      <c r="M86" s="47">
        <v>5</v>
      </c>
      <c r="N86" s="46">
        <v>2</v>
      </c>
      <c r="O86" s="48">
        <v>7</v>
      </c>
      <c r="P86" s="45">
        <v>1530.5510296515499</v>
      </c>
      <c r="Q86" s="46">
        <v>0</v>
      </c>
      <c r="R86" s="47">
        <v>8</v>
      </c>
      <c r="S86" s="46">
        <v>3.62</v>
      </c>
      <c r="T86" s="48">
        <v>10.8</v>
      </c>
      <c r="U86" s="429">
        <v>1536.97102965155</v>
      </c>
      <c r="V86" s="46">
        <v>0</v>
      </c>
      <c r="W86" s="47">
        <v>0</v>
      </c>
      <c r="X86" s="46">
        <v>0</v>
      </c>
      <c r="Y86" s="47">
        <v>24.028970348449931</v>
      </c>
      <c r="Z86" s="45">
        <v>1561</v>
      </c>
      <c r="AA86" s="46">
        <v>0</v>
      </c>
      <c r="AB86" s="47">
        <v>0</v>
      </c>
      <c r="AC86" s="46">
        <v>29.617000000000001</v>
      </c>
      <c r="AD86" s="47">
        <v>25.765999999999998</v>
      </c>
      <c r="AE86" s="45">
        <v>1616.383</v>
      </c>
    </row>
    <row r="87" spans="2:31">
      <c r="B87" s="422"/>
      <c r="C87" s="424"/>
      <c r="D87" s="426"/>
      <c r="E87" s="424" t="s">
        <v>168</v>
      </c>
      <c r="F87" s="45">
        <v>404.8</v>
      </c>
      <c r="G87" s="46">
        <v>0</v>
      </c>
      <c r="H87" s="47">
        <v>0</v>
      </c>
      <c r="I87" s="46">
        <v>0</v>
      </c>
      <c r="J87" s="48">
        <v>0</v>
      </c>
      <c r="K87" s="45">
        <v>404.8</v>
      </c>
      <c r="L87" s="46">
        <v>0</v>
      </c>
      <c r="M87" s="47">
        <v>1</v>
      </c>
      <c r="N87" s="46">
        <v>0</v>
      </c>
      <c r="O87" s="48">
        <v>0</v>
      </c>
      <c r="P87" s="45">
        <v>403.8</v>
      </c>
      <c r="Q87" s="46">
        <v>0</v>
      </c>
      <c r="R87" s="47">
        <v>2.8</v>
      </c>
      <c r="S87" s="46">
        <v>0</v>
      </c>
      <c r="T87" s="48">
        <v>0</v>
      </c>
      <c r="U87" s="429">
        <v>401</v>
      </c>
      <c r="V87" s="46">
        <v>0</v>
      </c>
      <c r="W87" s="47">
        <v>15</v>
      </c>
      <c r="X87" s="46">
        <v>0</v>
      </c>
      <c r="Y87" s="47">
        <v>0</v>
      </c>
      <c r="Z87" s="45">
        <v>386</v>
      </c>
      <c r="AA87" s="46">
        <v>0</v>
      </c>
      <c r="AB87" s="47">
        <v>21.866</v>
      </c>
      <c r="AC87" s="46">
        <v>0</v>
      </c>
      <c r="AD87" s="47">
        <v>0</v>
      </c>
      <c r="AE87" s="45">
        <v>364.13400000000001</v>
      </c>
    </row>
    <row r="88" spans="2:31">
      <c r="B88" s="422"/>
      <c r="C88" s="424"/>
      <c r="D88" s="426"/>
      <c r="E88" s="424" t="s">
        <v>169</v>
      </c>
      <c r="F88" s="45">
        <v>267</v>
      </c>
      <c r="G88" s="46">
        <v>0</v>
      </c>
      <c r="H88" s="47">
        <v>0</v>
      </c>
      <c r="I88" s="46">
        <v>0</v>
      </c>
      <c r="J88" s="48">
        <v>0</v>
      </c>
      <c r="K88" s="45">
        <v>267</v>
      </c>
      <c r="L88" s="46">
        <v>0</v>
      </c>
      <c r="M88" s="47">
        <v>0</v>
      </c>
      <c r="N88" s="46">
        <v>0</v>
      </c>
      <c r="O88" s="48">
        <v>0</v>
      </c>
      <c r="P88" s="45">
        <v>267</v>
      </c>
      <c r="Q88" s="46">
        <v>0</v>
      </c>
      <c r="R88" s="47">
        <v>6</v>
      </c>
      <c r="S88" s="46">
        <v>0</v>
      </c>
      <c r="T88" s="48">
        <v>0</v>
      </c>
      <c r="U88" s="429">
        <v>261</v>
      </c>
      <c r="V88" s="46">
        <v>0</v>
      </c>
      <c r="W88" s="47">
        <v>0</v>
      </c>
      <c r="X88" s="46">
        <v>0</v>
      </c>
      <c r="Y88" s="47">
        <v>0</v>
      </c>
      <c r="Z88" s="45">
        <v>261</v>
      </c>
      <c r="AA88" s="46">
        <v>0</v>
      </c>
      <c r="AB88" s="47">
        <v>0</v>
      </c>
      <c r="AC88" s="46">
        <v>0</v>
      </c>
      <c r="AD88" s="47">
        <v>0</v>
      </c>
      <c r="AE88" s="45">
        <v>261</v>
      </c>
    </row>
    <row r="89" spans="2:31">
      <c r="B89" s="422"/>
      <c r="C89" s="424"/>
      <c r="D89" s="426"/>
      <c r="E89" s="424" t="s">
        <v>170</v>
      </c>
      <c r="F89" s="45">
        <v>0</v>
      </c>
      <c r="G89" s="46">
        <v>0</v>
      </c>
      <c r="H89" s="47">
        <v>0</v>
      </c>
      <c r="I89" s="46">
        <v>0</v>
      </c>
      <c r="J89" s="48">
        <v>0</v>
      </c>
      <c r="K89" s="45">
        <v>0</v>
      </c>
      <c r="L89" s="46">
        <v>0</v>
      </c>
      <c r="M89" s="47">
        <v>0</v>
      </c>
      <c r="N89" s="46">
        <v>0</v>
      </c>
      <c r="O89" s="48">
        <v>0</v>
      </c>
      <c r="P89" s="45">
        <v>0</v>
      </c>
      <c r="Q89" s="46">
        <v>0</v>
      </c>
      <c r="R89" s="47">
        <v>0</v>
      </c>
      <c r="S89" s="46">
        <v>0</v>
      </c>
      <c r="T89" s="48">
        <v>0</v>
      </c>
      <c r="U89" s="429">
        <v>0</v>
      </c>
      <c r="V89" s="46">
        <v>0</v>
      </c>
      <c r="W89" s="47">
        <v>0</v>
      </c>
      <c r="X89" s="46">
        <v>0</v>
      </c>
      <c r="Y89" s="47">
        <v>0</v>
      </c>
      <c r="Z89" s="45">
        <v>0</v>
      </c>
      <c r="AA89" s="46">
        <v>0</v>
      </c>
      <c r="AB89" s="47">
        <v>0</v>
      </c>
      <c r="AC89" s="46">
        <v>0</v>
      </c>
      <c r="AD89" s="47">
        <v>0</v>
      </c>
      <c r="AE89" s="45">
        <v>0</v>
      </c>
    </row>
    <row r="90" spans="2:31">
      <c r="B90" s="422"/>
      <c r="C90" s="424"/>
      <c r="D90" s="426"/>
      <c r="E90" s="424" t="s">
        <v>171</v>
      </c>
      <c r="F90" s="45">
        <v>0</v>
      </c>
      <c r="G90" s="46">
        <v>0</v>
      </c>
      <c r="H90" s="47">
        <v>0</v>
      </c>
      <c r="I90" s="46">
        <v>0</v>
      </c>
      <c r="J90" s="48">
        <v>0</v>
      </c>
      <c r="K90" s="45">
        <v>0</v>
      </c>
      <c r="L90" s="46">
        <v>0</v>
      </c>
      <c r="M90" s="47">
        <v>0</v>
      </c>
      <c r="N90" s="46">
        <v>0</v>
      </c>
      <c r="O90" s="48">
        <v>0</v>
      </c>
      <c r="P90" s="45">
        <v>0</v>
      </c>
      <c r="Q90" s="46">
        <v>0</v>
      </c>
      <c r="R90" s="47">
        <v>0</v>
      </c>
      <c r="S90" s="46">
        <v>0</v>
      </c>
      <c r="T90" s="48">
        <v>0</v>
      </c>
      <c r="U90" s="429">
        <v>0</v>
      </c>
      <c r="V90" s="46">
        <v>0</v>
      </c>
      <c r="W90" s="47">
        <v>0</v>
      </c>
      <c r="X90" s="46">
        <v>0</v>
      </c>
      <c r="Y90" s="47">
        <v>0</v>
      </c>
      <c r="Z90" s="45">
        <v>0</v>
      </c>
      <c r="AA90" s="46">
        <v>0</v>
      </c>
      <c r="AB90" s="47">
        <v>0</v>
      </c>
      <c r="AC90" s="46">
        <v>0</v>
      </c>
      <c r="AD90" s="47">
        <v>0</v>
      </c>
      <c r="AE90" s="45">
        <v>0</v>
      </c>
    </row>
    <row r="91" spans="2:31">
      <c r="B91" s="422"/>
      <c r="C91" s="424"/>
      <c r="D91" s="426"/>
      <c r="E91" s="424" t="s">
        <v>172</v>
      </c>
      <c r="F91" s="45">
        <v>0</v>
      </c>
      <c r="G91" s="46">
        <v>0</v>
      </c>
      <c r="H91" s="47">
        <v>0</v>
      </c>
      <c r="I91" s="46">
        <v>0</v>
      </c>
      <c r="J91" s="48">
        <v>0</v>
      </c>
      <c r="K91" s="45">
        <v>0</v>
      </c>
      <c r="L91" s="46">
        <v>0</v>
      </c>
      <c r="M91" s="47">
        <v>0</v>
      </c>
      <c r="N91" s="46">
        <v>0</v>
      </c>
      <c r="O91" s="48">
        <v>0</v>
      </c>
      <c r="P91" s="45">
        <v>0</v>
      </c>
      <c r="Q91" s="46">
        <v>0</v>
      </c>
      <c r="R91" s="47">
        <v>0</v>
      </c>
      <c r="S91" s="46">
        <v>0</v>
      </c>
      <c r="T91" s="48">
        <v>0</v>
      </c>
      <c r="U91" s="429">
        <v>0</v>
      </c>
      <c r="V91" s="46">
        <v>0</v>
      </c>
      <c r="W91" s="47">
        <v>0</v>
      </c>
      <c r="X91" s="46">
        <v>0</v>
      </c>
      <c r="Y91" s="47">
        <v>0</v>
      </c>
      <c r="Z91" s="45">
        <v>0</v>
      </c>
      <c r="AA91" s="46">
        <v>0</v>
      </c>
      <c r="AB91" s="47">
        <v>0</v>
      </c>
      <c r="AC91" s="46">
        <v>0</v>
      </c>
      <c r="AD91" s="47">
        <v>0</v>
      </c>
      <c r="AE91" s="45">
        <v>0</v>
      </c>
    </row>
    <row r="92" spans="2:31">
      <c r="B92" s="422"/>
      <c r="C92" s="424"/>
      <c r="D92" s="424"/>
      <c r="E92" s="424"/>
      <c r="F92" s="49"/>
      <c r="G92" s="50"/>
      <c r="H92" s="51"/>
      <c r="I92" s="50"/>
      <c r="J92" s="52"/>
      <c r="K92" s="49"/>
      <c r="L92" s="50"/>
      <c r="M92" s="51"/>
      <c r="N92" s="50"/>
      <c r="O92" s="52"/>
      <c r="P92" s="49"/>
      <c r="Q92" s="50"/>
      <c r="R92" s="51"/>
      <c r="S92" s="50"/>
      <c r="T92" s="52"/>
      <c r="U92" s="430"/>
      <c r="V92" s="50"/>
      <c r="W92" s="51"/>
      <c r="X92" s="50"/>
      <c r="Y92" s="51"/>
      <c r="Z92" s="49"/>
      <c r="AA92" s="50"/>
      <c r="AB92" s="51"/>
      <c r="AC92" s="50"/>
      <c r="AD92" s="51"/>
      <c r="AE92" s="49"/>
    </row>
    <row r="93" spans="2:31">
      <c r="B93" s="422"/>
      <c r="C93" s="424"/>
      <c r="D93" s="426" t="s">
        <v>137</v>
      </c>
      <c r="E93" s="424"/>
      <c r="F93" s="49"/>
      <c r="G93" s="50"/>
      <c r="H93" s="51"/>
      <c r="I93" s="50"/>
      <c r="J93" s="52"/>
      <c r="K93" s="49"/>
      <c r="L93" s="50"/>
      <c r="M93" s="51"/>
      <c r="N93" s="50"/>
      <c r="O93" s="52"/>
      <c r="P93" s="49"/>
      <c r="Q93" s="50"/>
      <c r="R93" s="51"/>
      <c r="S93" s="50"/>
      <c r="T93" s="52"/>
      <c r="U93" s="430"/>
      <c r="V93" s="50"/>
      <c r="W93" s="51"/>
      <c r="X93" s="50"/>
      <c r="Y93" s="51"/>
      <c r="Z93" s="49"/>
      <c r="AA93" s="50"/>
      <c r="AB93" s="51"/>
      <c r="AC93" s="50"/>
      <c r="AD93" s="51"/>
      <c r="AE93" s="49"/>
    </row>
    <row r="94" spans="2:31">
      <c r="B94" s="422"/>
      <c r="C94" s="424"/>
      <c r="D94" s="424"/>
      <c r="E94" s="424" t="s">
        <v>173</v>
      </c>
      <c r="F94" s="45">
        <v>0</v>
      </c>
      <c r="G94" s="46">
        <v>0</v>
      </c>
      <c r="H94" s="47">
        <v>0</v>
      </c>
      <c r="I94" s="46">
        <v>0</v>
      </c>
      <c r="J94" s="48">
        <v>0</v>
      </c>
      <c r="K94" s="45">
        <v>0</v>
      </c>
      <c r="L94" s="46">
        <v>0</v>
      </c>
      <c r="M94" s="47">
        <v>0</v>
      </c>
      <c r="N94" s="46">
        <v>0</v>
      </c>
      <c r="O94" s="48">
        <v>0</v>
      </c>
      <c r="P94" s="45">
        <v>0</v>
      </c>
      <c r="Q94" s="46">
        <v>0</v>
      </c>
      <c r="R94" s="47">
        <v>0</v>
      </c>
      <c r="S94" s="46">
        <v>0</v>
      </c>
      <c r="T94" s="48">
        <v>0</v>
      </c>
      <c r="U94" s="429">
        <v>0</v>
      </c>
      <c r="V94" s="46">
        <v>0</v>
      </c>
      <c r="W94" s="47">
        <v>0</v>
      </c>
      <c r="X94" s="46">
        <v>0</v>
      </c>
      <c r="Y94" s="47">
        <v>0</v>
      </c>
      <c r="Z94" s="45">
        <v>0</v>
      </c>
      <c r="AA94" s="46">
        <v>0</v>
      </c>
      <c r="AB94" s="47">
        <v>0</v>
      </c>
      <c r="AC94" s="46">
        <v>0</v>
      </c>
      <c r="AD94" s="47">
        <v>0</v>
      </c>
      <c r="AE94" s="45">
        <v>0</v>
      </c>
    </row>
    <row r="95" spans="2:31">
      <c r="B95" s="422"/>
      <c r="C95" s="424"/>
      <c r="D95" s="426"/>
      <c r="E95" s="424"/>
      <c r="F95" s="49"/>
      <c r="G95" s="50"/>
      <c r="H95" s="51"/>
      <c r="I95" s="50"/>
      <c r="J95" s="52"/>
      <c r="K95" s="49"/>
      <c r="L95" s="50"/>
      <c r="M95" s="51"/>
      <c r="N95" s="50"/>
      <c r="O95" s="52"/>
      <c r="P95" s="49"/>
      <c r="Q95" s="50"/>
      <c r="R95" s="51"/>
      <c r="S95" s="50"/>
      <c r="T95" s="52"/>
      <c r="U95" s="430"/>
      <c r="V95" s="50"/>
      <c r="W95" s="51"/>
      <c r="X95" s="50"/>
      <c r="Y95" s="51"/>
      <c r="Z95" s="49"/>
      <c r="AA95" s="50"/>
      <c r="AB95" s="51"/>
      <c r="AC95" s="50"/>
      <c r="AD95" s="51"/>
      <c r="AE95" s="49"/>
    </row>
    <row r="96" spans="2:31">
      <c r="B96" s="422"/>
      <c r="C96" s="424"/>
      <c r="D96" s="426" t="s">
        <v>120</v>
      </c>
      <c r="E96" s="424"/>
      <c r="F96" s="49"/>
      <c r="G96" s="50"/>
      <c r="H96" s="51"/>
      <c r="I96" s="50"/>
      <c r="J96" s="52"/>
      <c r="K96" s="49"/>
      <c r="L96" s="50"/>
      <c r="M96" s="51"/>
      <c r="N96" s="50"/>
      <c r="O96" s="52"/>
      <c r="P96" s="49"/>
      <c r="Q96" s="50"/>
      <c r="R96" s="51"/>
      <c r="S96" s="50"/>
      <c r="T96" s="52"/>
      <c r="U96" s="430"/>
      <c r="V96" s="50"/>
      <c r="W96" s="51"/>
      <c r="X96" s="50"/>
      <c r="Y96" s="51"/>
      <c r="Z96" s="49"/>
      <c r="AA96" s="50"/>
      <c r="AB96" s="51"/>
      <c r="AC96" s="50"/>
      <c r="AD96" s="51"/>
      <c r="AE96" s="49"/>
    </row>
    <row r="97" spans="2:31">
      <c r="B97" s="422"/>
      <c r="C97" s="424"/>
      <c r="D97" s="426"/>
      <c r="E97" s="436" t="s">
        <v>174</v>
      </c>
      <c r="F97" s="45">
        <v>1455</v>
      </c>
      <c r="G97" s="46">
        <v>0</v>
      </c>
      <c r="H97" s="47">
        <v>6</v>
      </c>
      <c r="I97" s="46">
        <v>0</v>
      </c>
      <c r="J97" s="48">
        <v>17</v>
      </c>
      <c r="K97" s="45">
        <v>1466</v>
      </c>
      <c r="L97" s="46">
        <v>0</v>
      </c>
      <c r="M97" s="47">
        <v>22</v>
      </c>
      <c r="N97" s="46">
        <v>0</v>
      </c>
      <c r="O97" s="48">
        <v>0</v>
      </c>
      <c r="P97" s="45">
        <v>1444</v>
      </c>
      <c r="Q97" s="46">
        <v>0</v>
      </c>
      <c r="R97" s="47">
        <v>5</v>
      </c>
      <c r="S97" s="46">
        <v>0</v>
      </c>
      <c r="T97" s="48">
        <v>2</v>
      </c>
      <c r="U97" s="429">
        <v>1441</v>
      </c>
      <c r="V97" s="46">
        <v>0</v>
      </c>
      <c r="W97" s="47">
        <v>14</v>
      </c>
      <c r="X97" s="46">
        <v>0</v>
      </c>
      <c r="Y97" s="47">
        <v>0</v>
      </c>
      <c r="Z97" s="45">
        <v>1427</v>
      </c>
      <c r="AA97" s="46">
        <v>0</v>
      </c>
      <c r="AB97" s="47">
        <v>0</v>
      </c>
      <c r="AC97" s="46">
        <v>14</v>
      </c>
      <c r="AD97" s="47">
        <v>0</v>
      </c>
      <c r="AE97" s="45">
        <v>1441</v>
      </c>
    </row>
    <row r="98" spans="2:31">
      <c r="B98" s="422"/>
      <c r="C98" s="424"/>
      <c r="D98" s="426"/>
      <c r="E98" s="436" t="s">
        <v>175</v>
      </c>
      <c r="F98" s="45">
        <v>171</v>
      </c>
      <c r="G98" s="46">
        <v>0</v>
      </c>
      <c r="H98" s="47">
        <v>0</v>
      </c>
      <c r="I98" s="46">
        <v>0</v>
      </c>
      <c r="J98" s="48">
        <v>0</v>
      </c>
      <c r="K98" s="45">
        <v>171</v>
      </c>
      <c r="L98" s="46">
        <v>0</v>
      </c>
      <c r="M98" s="47">
        <v>18</v>
      </c>
      <c r="N98" s="46">
        <v>0</v>
      </c>
      <c r="O98" s="48">
        <v>0</v>
      </c>
      <c r="P98" s="45">
        <v>153</v>
      </c>
      <c r="Q98" s="46">
        <v>0</v>
      </c>
      <c r="R98" s="47">
        <v>0</v>
      </c>
      <c r="S98" s="46">
        <v>0</v>
      </c>
      <c r="T98" s="48">
        <v>0</v>
      </c>
      <c r="U98" s="429">
        <v>153</v>
      </c>
      <c r="V98" s="46">
        <v>0</v>
      </c>
      <c r="W98" s="47">
        <v>0</v>
      </c>
      <c r="X98" s="46">
        <v>0</v>
      </c>
      <c r="Y98" s="47">
        <v>5</v>
      </c>
      <c r="Z98" s="45">
        <v>158</v>
      </c>
      <c r="AA98" s="46">
        <v>0</v>
      </c>
      <c r="AB98" s="47">
        <v>2</v>
      </c>
      <c r="AC98" s="46">
        <v>0</v>
      </c>
      <c r="AD98" s="47">
        <v>2</v>
      </c>
      <c r="AE98" s="45">
        <v>158</v>
      </c>
    </row>
    <row r="99" spans="2:31">
      <c r="B99" s="422"/>
      <c r="C99" s="424"/>
      <c r="D99" s="426"/>
      <c r="E99" s="436" t="s">
        <v>176</v>
      </c>
      <c r="F99" s="45">
        <v>62</v>
      </c>
      <c r="G99" s="46">
        <v>0</v>
      </c>
      <c r="H99" s="47">
        <v>0</v>
      </c>
      <c r="I99" s="46">
        <v>0</v>
      </c>
      <c r="J99" s="48">
        <v>0</v>
      </c>
      <c r="K99" s="45">
        <v>62</v>
      </c>
      <c r="L99" s="46">
        <v>0</v>
      </c>
      <c r="M99" s="47">
        <v>0</v>
      </c>
      <c r="N99" s="46">
        <v>0</v>
      </c>
      <c r="O99" s="48">
        <v>0</v>
      </c>
      <c r="P99" s="45">
        <v>62</v>
      </c>
      <c r="Q99" s="46">
        <v>0</v>
      </c>
      <c r="R99" s="47">
        <v>0</v>
      </c>
      <c r="S99" s="46">
        <v>0</v>
      </c>
      <c r="T99" s="48">
        <v>1</v>
      </c>
      <c r="U99" s="429">
        <v>63</v>
      </c>
      <c r="V99" s="46">
        <v>0</v>
      </c>
      <c r="W99" s="47">
        <v>0</v>
      </c>
      <c r="X99" s="46">
        <v>0</v>
      </c>
      <c r="Y99" s="47">
        <v>0</v>
      </c>
      <c r="Z99" s="45">
        <v>63</v>
      </c>
      <c r="AA99" s="46">
        <v>0</v>
      </c>
      <c r="AB99" s="47">
        <v>0</v>
      </c>
      <c r="AC99" s="46">
        <v>0</v>
      </c>
      <c r="AD99" s="47">
        <v>0</v>
      </c>
      <c r="AE99" s="45">
        <v>63</v>
      </c>
    </row>
    <row r="100" spans="2:31">
      <c r="B100" s="422"/>
      <c r="C100" s="424"/>
      <c r="D100" s="426"/>
      <c r="E100" s="436" t="s">
        <v>177</v>
      </c>
      <c r="F100" s="45">
        <v>106</v>
      </c>
      <c r="G100" s="46">
        <v>0</v>
      </c>
      <c r="H100" s="47">
        <v>0</v>
      </c>
      <c r="I100" s="46">
        <v>0</v>
      </c>
      <c r="J100" s="48">
        <v>0</v>
      </c>
      <c r="K100" s="45">
        <v>106</v>
      </c>
      <c r="L100" s="46">
        <v>0</v>
      </c>
      <c r="M100" s="47">
        <v>0</v>
      </c>
      <c r="N100" s="46">
        <v>0</v>
      </c>
      <c r="O100" s="48">
        <v>0</v>
      </c>
      <c r="P100" s="45">
        <v>106</v>
      </c>
      <c r="Q100" s="46">
        <v>0</v>
      </c>
      <c r="R100" s="47">
        <v>0</v>
      </c>
      <c r="S100" s="46">
        <v>0</v>
      </c>
      <c r="T100" s="48">
        <v>0</v>
      </c>
      <c r="U100" s="429">
        <v>106</v>
      </c>
      <c r="V100" s="46">
        <v>0</v>
      </c>
      <c r="W100" s="47">
        <v>0</v>
      </c>
      <c r="X100" s="46">
        <v>0</v>
      </c>
      <c r="Y100" s="47">
        <v>0</v>
      </c>
      <c r="Z100" s="45">
        <v>106</v>
      </c>
      <c r="AA100" s="46">
        <v>0</v>
      </c>
      <c r="AB100" s="47">
        <v>0</v>
      </c>
      <c r="AC100" s="46">
        <v>0</v>
      </c>
      <c r="AD100" s="47">
        <v>0</v>
      </c>
      <c r="AE100" s="45">
        <v>106</v>
      </c>
    </row>
    <row r="101" spans="2:31">
      <c r="B101" s="422"/>
      <c r="C101" s="424"/>
      <c r="D101" s="426"/>
      <c r="E101" s="436" t="s">
        <v>178</v>
      </c>
      <c r="F101" s="45">
        <v>6</v>
      </c>
      <c r="G101" s="46">
        <v>0</v>
      </c>
      <c r="H101" s="47">
        <v>0</v>
      </c>
      <c r="I101" s="46">
        <v>0</v>
      </c>
      <c r="J101" s="48">
        <v>0</v>
      </c>
      <c r="K101" s="45">
        <v>6</v>
      </c>
      <c r="L101" s="46">
        <v>0</v>
      </c>
      <c r="M101" s="47">
        <v>0</v>
      </c>
      <c r="N101" s="46">
        <v>0</v>
      </c>
      <c r="O101" s="48">
        <v>0</v>
      </c>
      <c r="P101" s="45">
        <v>6</v>
      </c>
      <c r="Q101" s="46">
        <v>0</v>
      </c>
      <c r="R101" s="47">
        <v>0</v>
      </c>
      <c r="S101" s="46">
        <v>0</v>
      </c>
      <c r="T101" s="48">
        <v>0</v>
      </c>
      <c r="U101" s="429">
        <v>6</v>
      </c>
      <c r="V101" s="46">
        <v>0</v>
      </c>
      <c r="W101" s="47">
        <v>1</v>
      </c>
      <c r="X101" s="46">
        <v>0</v>
      </c>
      <c r="Y101" s="47">
        <v>1</v>
      </c>
      <c r="Z101" s="45">
        <v>6</v>
      </c>
      <c r="AA101" s="46">
        <v>0</v>
      </c>
      <c r="AB101" s="47">
        <v>0</v>
      </c>
      <c r="AC101" s="46">
        <v>0</v>
      </c>
      <c r="AD101" s="47">
        <v>0</v>
      </c>
      <c r="AE101" s="45">
        <v>6</v>
      </c>
    </row>
    <row r="102" spans="2:31">
      <c r="B102" s="422"/>
      <c r="C102" s="424"/>
      <c r="D102" s="426"/>
      <c r="E102" s="436" t="s">
        <v>179</v>
      </c>
      <c r="F102" s="45">
        <v>91</v>
      </c>
      <c r="G102" s="46">
        <v>0</v>
      </c>
      <c r="H102" s="47">
        <v>7</v>
      </c>
      <c r="I102" s="46">
        <v>0</v>
      </c>
      <c r="J102" s="48">
        <v>0</v>
      </c>
      <c r="K102" s="45">
        <v>84</v>
      </c>
      <c r="L102" s="46">
        <v>0</v>
      </c>
      <c r="M102" s="47">
        <v>1</v>
      </c>
      <c r="N102" s="46">
        <v>0</v>
      </c>
      <c r="O102" s="48">
        <v>0</v>
      </c>
      <c r="P102" s="45">
        <v>83</v>
      </c>
      <c r="Q102" s="46">
        <v>0</v>
      </c>
      <c r="R102" s="47">
        <v>2</v>
      </c>
      <c r="S102" s="46">
        <v>0</v>
      </c>
      <c r="T102" s="48">
        <v>12</v>
      </c>
      <c r="U102" s="429">
        <v>93</v>
      </c>
      <c r="V102" s="46">
        <v>0</v>
      </c>
      <c r="W102" s="47">
        <v>18</v>
      </c>
      <c r="X102" s="46">
        <v>0</v>
      </c>
      <c r="Y102" s="47">
        <v>0</v>
      </c>
      <c r="Z102" s="45">
        <v>75</v>
      </c>
      <c r="AA102" s="46">
        <v>0</v>
      </c>
      <c r="AB102" s="47">
        <v>0</v>
      </c>
      <c r="AC102" s="46">
        <v>0</v>
      </c>
      <c r="AD102" s="47">
        <v>0</v>
      </c>
      <c r="AE102" s="45">
        <v>75</v>
      </c>
    </row>
    <row r="103" spans="2:31">
      <c r="B103" s="422"/>
      <c r="C103" s="424"/>
      <c r="D103" s="426"/>
      <c r="E103" s="436" t="s">
        <v>180</v>
      </c>
      <c r="F103" s="45">
        <v>0</v>
      </c>
      <c r="G103" s="46">
        <v>0</v>
      </c>
      <c r="H103" s="47">
        <v>0</v>
      </c>
      <c r="I103" s="46">
        <v>0</v>
      </c>
      <c r="J103" s="48">
        <v>0</v>
      </c>
      <c r="K103" s="45">
        <v>0</v>
      </c>
      <c r="L103" s="46">
        <v>0</v>
      </c>
      <c r="M103" s="47">
        <v>0</v>
      </c>
      <c r="N103" s="46">
        <v>0</v>
      </c>
      <c r="O103" s="48">
        <v>0</v>
      </c>
      <c r="P103" s="45">
        <v>0</v>
      </c>
      <c r="Q103" s="46">
        <v>0</v>
      </c>
      <c r="R103" s="47">
        <v>0</v>
      </c>
      <c r="S103" s="46">
        <v>0</v>
      </c>
      <c r="T103" s="48">
        <v>0</v>
      </c>
      <c r="U103" s="429">
        <v>0</v>
      </c>
      <c r="V103" s="46">
        <v>0</v>
      </c>
      <c r="W103" s="47">
        <v>0</v>
      </c>
      <c r="X103" s="46">
        <v>0</v>
      </c>
      <c r="Y103" s="47">
        <v>0</v>
      </c>
      <c r="Z103" s="45">
        <v>0</v>
      </c>
      <c r="AA103" s="46">
        <v>0</v>
      </c>
      <c r="AB103" s="47">
        <v>0</v>
      </c>
      <c r="AC103" s="46">
        <v>0</v>
      </c>
      <c r="AD103" s="47">
        <v>0</v>
      </c>
      <c r="AE103" s="45">
        <v>0</v>
      </c>
    </row>
    <row r="104" spans="2:31">
      <c r="B104" s="422"/>
      <c r="C104" s="424"/>
      <c r="D104" s="426"/>
      <c r="E104" s="436" t="s">
        <v>181</v>
      </c>
      <c r="F104" s="45">
        <v>0</v>
      </c>
      <c r="G104" s="46">
        <v>0</v>
      </c>
      <c r="H104" s="47">
        <v>0</v>
      </c>
      <c r="I104" s="46">
        <v>0</v>
      </c>
      <c r="J104" s="48">
        <v>0</v>
      </c>
      <c r="K104" s="45">
        <v>0</v>
      </c>
      <c r="L104" s="46">
        <v>0</v>
      </c>
      <c r="M104" s="47">
        <v>0</v>
      </c>
      <c r="N104" s="46">
        <v>0</v>
      </c>
      <c r="O104" s="48">
        <v>0</v>
      </c>
      <c r="P104" s="45">
        <v>0</v>
      </c>
      <c r="Q104" s="46">
        <v>0</v>
      </c>
      <c r="R104" s="47">
        <v>0</v>
      </c>
      <c r="S104" s="46">
        <v>0</v>
      </c>
      <c r="T104" s="48">
        <v>0</v>
      </c>
      <c r="U104" s="429">
        <v>0</v>
      </c>
      <c r="V104" s="46">
        <v>0</v>
      </c>
      <c r="W104" s="47">
        <v>0</v>
      </c>
      <c r="X104" s="46">
        <v>0</v>
      </c>
      <c r="Y104" s="47">
        <v>0</v>
      </c>
      <c r="Z104" s="45">
        <v>0</v>
      </c>
      <c r="AA104" s="46">
        <v>0</v>
      </c>
      <c r="AB104" s="47">
        <v>0</v>
      </c>
      <c r="AC104" s="46">
        <v>0</v>
      </c>
      <c r="AD104" s="47">
        <v>0</v>
      </c>
      <c r="AE104" s="45">
        <v>0</v>
      </c>
    </row>
    <row r="105" spans="2:31">
      <c r="B105" s="422"/>
      <c r="C105" s="424"/>
      <c r="D105" s="426"/>
      <c r="E105" s="424"/>
      <c r="F105" s="49"/>
      <c r="G105" s="50"/>
      <c r="H105" s="51"/>
      <c r="I105" s="50"/>
      <c r="J105" s="52"/>
      <c r="K105" s="49"/>
      <c r="L105" s="50"/>
      <c r="M105" s="51"/>
      <c r="N105" s="50"/>
      <c r="O105" s="52"/>
      <c r="P105" s="49"/>
      <c r="Q105" s="50"/>
      <c r="R105" s="51"/>
      <c r="S105" s="50"/>
      <c r="T105" s="52"/>
      <c r="U105" s="430"/>
      <c r="V105" s="50"/>
      <c r="W105" s="51"/>
      <c r="X105" s="50"/>
      <c r="Y105" s="51"/>
      <c r="Z105" s="49"/>
      <c r="AA105" s="50"/>
      <c r="AB105" s="51"/>
      <c r="AC105" s="50"/>
      <c r="AD105" s="51"/>
      <c r="AE105" s="49"/>
    </row>
    <row r="106" spans="2:31">
      <c r="B106" s="422"/>
      <c r="C106" s="424"/>
      <c r="D106" s="426" t="s">
        <v>153</v>
      </c>
      <c r="E106" s="424"/>
      <c r="F106" s="49"/>
      <c r="G106" s="50"/>
      <c r="H106" s="51"/>
      <c r="I106" s="50"/>
      <c r="J106" s="52"/>
      <c r="K106" s="49"/>
      <c r="L106" s="50"/>
      <c r="M106" s="51"/>
      <c r="N106" s="50"/>
      <c r="O106" s="52"/>
      <c r="P106" s="49"/>
      <c r="Q106" s="50"/>
      <c r="R106" s="51"/>
      <c r="S106" s="50"/>
      <c r="T106" s="52"/>
      <c r="U106" s="430"/>
      <c r="V106" s="50"/>
      <c r="W106" s="51"/>
      <c r="X106" s="50"/>
      <c r="Y106" s="51"/>
      <c r="Z106" s="49"/>
      <c r="AA106" s="50"/>
      <c r="AB106" s="51"/>
      <c r="AC106" s="50"/>
      <c r="AD106" s="51"/>
      <c r="AE106" s="49"/>
    </row>
    <row r="107" spans="2:31">
      <c r="B107" s="422"/>
      <c r="C107" s="424"/>
      <c r="D107" s="424"/>
      <c r="E107" s="436" t="s">
        <v>182</v>
      </c>
      <c r="F107" s="45">
        <v>0</v>
      </c>
      <c r="G107" s="46">
        <v>0</v>
      </c>
      <c r="H107" s="47">
        <v>0</v>
      </c>
      <c r="I107" s="46">
        <v>0</v>
      </c>
      <c r="J107" s="48">
        <v>0</v>
      </c>
      <c r="K107" s="45">
        <v>0</v>
      </c>
      <c r="L107" s="46">
        <v>0</v>
      </c>
      <c r="M107" s="47">
        <v>0</v>
      </c>
      <c r="N107" s="46">
        <v>0</v>
      </c>
      <c r="O107" s="48">
        <v>0</v>
      </c>
      <c r="P107" s="45">
        <v>0</v>
      </c>
      <c r="Q107" s="46">
        <v>0</v>
      </c>
      <c r="R107" s="47">
        <v>0</v>
      </c>
      <c r="S107" s="46">
        <v>0</v>
      </c>
      <c r="T107" s="48">
        <v>0</v>
      </c>
      <c r="U107" s="429">
        <v>0</v>
      </c>
      <c r="V107" s="46">
        <v>0</v>
      </c>
      <c r="W107" s="47">
        <v>0</v>
      </c>
      <c r="X107" s="46">
        <v>0</v>
      </c>
      <c r="Y107" s="47">
        <v>0</v>
      </c>
      <c r="Z107" s="45">
        <v>0</v>
      </c>
      <c r="AA107" s="46">
        <v>0</v>
      </c>
      <c r="AB107" s="47">
        <v>0</v>
      </c>
      <c r="AC107" s="46">
        <v>0</v>
      </c>
      <c r="AD107" s="47">
        <v>0</v>
      </c>
      <c r="AE107" s="45">
        <v>0</v>
      </c>
    </row>
    <row r="108" spans="2:31">
      <c r="B108" s="422"/>
      <c r="C108" s="424"/>
      <c r="D108" s="424"/>
      <c r="E108" s="436" t="s">
        <v>183</v>
      </c>
      <c r="F108" s="45">
        <v>697</v>
      </c>
      <c r="G108" s="46">
        <v>4</v>
      </c>
      <c r="H108" s="47">
        <v>6</v>
      </c>
      <c r="I108" s="46">
        <v>4</v>
      </c>
      <c r="J108" s="48">
        <v>5</v>
      </c>
      <c r="K108" s="45">
        <v>696</v>
      </c>
      <c r="L108" s="46">
        <v>0</v>
      </c>
      <c r="M108" s="47">
        <v>0</v>
      </c>
      <c r="N108" s="46">
        <v>0</v>
      </c>
      <c r="O108" s="48">
        <v>2</v>
      </c>
      <c r="P108" s="45">
        <v>698</v>
      </c>
      <c r="Q108" s="46">
        <v>0</v>
      </c>
      <c r="R108" s="47">
        <v>0</v>
      </c>
      <c r="S108" s="46">
        <v>1</v>
      </c>
      <c r="T108" s="48">
        <v>1</v>
      </c>
      <c r="U108" s="429">
        <v>700</v>
      </c>
      <c r="V108" s="46">
        <v>0</v>
      </c>
      <c r="W108" s="47">
        <v>7</v>
      </c>
      <c r="X108" s="46">
        <v>0</v>
      </c>
      <c r="Y108" s="47">
        <v>3</v>
      </c>
      <c r="Z108" s="45">
        <v>696</v>
      </c>
      <c r="AA108" s="46">
        <v>0</v>
      </c>
      <c r="AB108" s="47">
        <v>6</v>
      </c>
      <c r="AC108" s="46">
        <v>0</v>
      </c>
      <c r="AD108" s="47">
        <v>6</v>
      </c>
      <c r="AE108" s="45">
        <v>696</v>
      </c>
    </row>
    <row r="109" spans="2:31">
      <c r="B109" s="422"/>
      <c r="C109" s="424"/>
      <c r="D109" s="424"/>
      <c r="E109" s="424" t="s">
        <v>184</v>
      </c>
      <c r="F109" s="45">
        <v>638</v>
      </c>
      <c r="G109" s="46">
        <v>0</v>
      </c>
      <c r="H109" s="47">
        <v>0</v>
      </c>
      <c r="I109" s="46">
        <v>0</v>
      </c>
      <c r="J109" s="48">
        <v>0</v>
      </c>
      <c r="K109" s="45">
        <v>638</v>
      </c>
      <c r="L109" s="46">
        <v>0</v>
      </c>
      <c r="M109" s="47">
        <v>0</v>
      </c>
      <c r="N109" s="46">
        <v>0</v>
      </c>
      <c r="O109" s="48">
        <v>0</v>
      </c>
      <c r="P109" s="45">
        <v>638</v>
      </c>
      <c r="Q109" s="46">
        <v>0</v>
      </c>
      <c r="R109" s="47">
        <v>1</v>
      </c>
      <c r="S109" s="46">
        <v>0</v>
      </c>
      <c r="T109" s="48">
        <v>0</v>
      </c>
      <c r="U109" s="429">
        <v>637</v>
      </c>
      <c r="V109" s="46">
        <v>0</v>
      </c>
      <c r="W109" s="47">
        <v>0</v>
      </c>
      <c r="X109" s="46">
        <v>0</v>
      </c>
      <c r="Y109" s="47">
        <v>0</v>
      </c>
      <c r="Z109" s="45">
        <v>637</v>
      </c>
      <c r="AA109" s="46">
        <v>0</v>
      </c>
      <c r="AB109" s="47">
        <v>0</v>
      </c>
      <c r="AC109" s="46">
        <v>0</v>
      </c>
      <c r="AD109" s="47">
        <v>0</v>
      </c>
      <c r="AE109" s="45">
        <v>637</v>
      </c>
    </row>
    <row r="110" spans="2:31">
      <c r="B110" s="422"/>
      <c r="C110" s="424"/>
      <c r="D110" s="424"/>
      <c r="E110" s="436" t="s">
        <v>185</v>
      </c>
      <c r="F110" s="45">
        <v>0</v>
      </c>
      <c r="G110" s="46">
        <v>0</v>
      </c>
      <c r="H110" s="47">
        <v>0</v>
      </c>
      <c r="I110" s="46">
        <v>0</v>
      </c>
      <c r="J110" s="48">
        <v>0</v>
      </c>
      <c r="K110" s="45">
        <v>0</v>
      </c>
      <c r="L110" s="46">
        <v>0</v>
      </c>
      <c r="M110" s="47">
        <v>0</v>
      </c>
      <c r="N110" s="46">
        <v>0</v>
      </c>
      <c r="O110" s="48">
        <v>0</v>
      </c>
      <c r="P110" s="45">
        <v>0</v>
      </c>
      <c r="Q110" s="46">
        <v>0</v>
      </c>
      <c r="R110" s="47">
        <v>0</v>
      </c>
      <c r="S110" s="46">
        <v>0</v>
      </c>
      <c r="T110" s="48">
        <v>0</v>
      </c>
      <c r="U110" s="429">
        <v>0</v>
      </c>
      <c r="V110" s="46">
        <v>0</v>
      </c>
      <c r="W110" s="47">
        <v>0</v>
      </c>
      <c r="X110" s="46">
        <v>0</v>
      </c>
      <c r="Y110" s="47">
        <v>0</v>
      </c>
      <c r="Z110" s="45">
        <v>0</v>
      </c>
      <c r="AA110" s="46">
        <v>0</v>
      </c>
      <c r="AB110" s="47">
        <v>0</v>
      </c>
      <c r="AC110" s="46">
        <v>0</v>
      </c>
      <c r="AD110" s="47">
        <v>0</v>
      </c>
      <c r="AE110" s="45">
        <v>0</v>
      </c>
    </row>
    <row r="111" spans="2:31">
      <c r="B111" s="422"/>
      <c r="C111" s="424"/>
      <c r="D111" s="426"/>
      <c r="E111" s="424" t="s">
        <v>186</v>
      </c>
      <c r="F111" s="45">
        <v>0</v>
      </c>
      <c r="G111" s="46">
        <v>0</v>
      </c>
      <c r="H111" s="47">
        <v>0</v>
      </c>
      <c r="I111" s="46">
        <v>0</v>
      </c>
      <c r="J111" s="48">
        <v>0</v>
      </c>
      <c r="K111" s="45">
        <v>0</v>
      </c>
      <c r="L111" s="46">
        <v>0</v>
      </c>
      <c r="M111" s="47">
        <v>0</v>
      </c>
      <c r="N111" s="46">
        <v>0</v>
      </c>
      <c r="O111" s="48">
        <v>0</v>
      </c>
      <c r="P111" s="45">
        <v>0</v>
      </c>
      <c r="Q111" s="46">
        <v>0</v>
      </c>
      <c r="R111" s="47">
        <v>0</v>
      </c>
      <c r="S111" s="46">
        <v>0</v>
      </c>
      <c r="T111" s="48">
        <v>0</v>
      </c>
      <c r="U111" s="429">
        <v>0</v>
      </c>
      <c r="V111" s="46">
        <v>0</v>
      </c>
      <c r="W111" s="47">
        <v>0</v>
      </c>
      <c r="X111" s="46">
        <v>0</v>
      </c>
      <c r="Y111" s="47">
        <v>0</v>
      </c>
      <c r="Z111" s="45">
        <v>0</v>
      </c>
      <c r="AA111" s="46">
        <v>0</v>
      </c>
      <c r="AB111" s="47">
        <v>0</v>
      </c>
      <c r="AC111" s="46">
        <v>0</v>
      </c>
      <c r="AD111" s="47">
        <v>0</v>
      </c>
      <c r="AE111" s="45">
        <v>0</v>
      </c>
    </row>
    <row r="112" spans="2:31" ht="15.75" thickBot="1">
      <c r="B112" s="431"/>
      <c r="C112" s="432"/>
      <c r="D112" s="432"/>
      <c r="E112" s="432"/>
      <c r="F112" s="53"/>
      <c r="G112" s="54"/>
      <c r="H112" s="55"/>
      <c r="I112" s="54"/>
      <c r="J112" s="56"/>
      <c r="K112" s="57"/>
      <c r="L112" s="54"/>
      <c r="M112" s="55"/>
      <c r="N112" s="54"/>
      <c r="O112" s="56"/>
      <c r="P112" s="57"/>
      <c r="Q112" s="54"/>
      <c r="R112" s="55"/>
      <c r="S112" s="54"/>
      <c r="T112" s="56"/>
      <c r="U112" s="433"/>
      <c r="V112" s="54"/>
      <c r="W112" s="55"/>
      <c r="X112" s="54"/>
      <c r="Y112" s="55"/>
      <c r="Z112" s="57"/>
      <c r="AA112" s="54"/>
      <c r="AB112" s="55"/>
      <c r="AC112" s="54"/>
      <c r="AD112" s="55"/>
      <c r="AE112" s="57"/>
    </row>
    <row r="113" spans="2:31">
      <c r="B113" s="434"/>
      <c r="C113" s="435" t="s">
        <v>187</v>
      </c>
      <c r="D113" s="435"/>
      <c r="E113" s="436"/>
      <c r="F113" s="49"/>
      <c r="G113" s="50"/>
      <c r="H113" s="51"/>
      <c r="I113" s="50"/>
      <c r="J113" s="52"/>
      <c r="K113" s="49"/>
      <c r="L113" s="50"/>
      <c r="M113" s="51"/>
      <c r="N113" s="50"/>
      <c r="O113" s="52"/>
      <c r="P113" s="49"/>
      <c r="Q113" s="50"/>
      <c r="R113" s="51"/>
      <c r="S113" s="50"/>
      <c r="T113" s="52"/>
      <c r="U113" s="430"/>
      <c r="V113" s="50"/>
      <c r="W113" s="51"/>
      <c r="X113" s="50"/>
      <c r="Y113" s="51"/>
      <c r="Z113" s="49"/>
      <c r="AA113" s="50"/>
      <c r="AB113" s="51"/>
      <c r="AC113" s="50"/>
      <c r="AD113" s="51"/>
      <c r="AE113" s="49"/>
    </row>
    <row r="114" spans="2:31">
      <c r="B114" s="422"/>
      <c r="C114" s="424"/>
      <c r="D114" s="426" t="s">
        <v>110</v>
      </c>
      <c r="E114" s="424"/>
      <c r="F114" s="49"/>
      <c r="G114" s="50"/>
      <c r="H114" s="51"/>
      <c r="I114" s="50"/>
      <c r="J114" s="52"/>
      <c r="K114" s="49"/>
      <c r="L114" s="50"/>
      <c r="M114" s="51"/>
      <c r="N114" s="50"/>
      <c r="O114" s="52"/>
      <c r="P114" s="49"/>
      <c r="Q114" s="50"/>
      <c r="R114" s="51"/>
      <c r="S114" s="50"/>
      <c r="T114" s="52"/>
      <c r="U114" s="430"/>
      <c r="V114" s="50"/>
      <c r="W114" s="51"/>
      <c r="X114" s="50"/>
      <c r="Y114" s="51"/>
      <c r="Z114" s="49"/>
      <c r="AA114" s="50"/>
      <c r="AB114" s="51"/>
      <c r="AC114" s="50"/>
      <c r="AD114" s="51"/>
      <c r="AE114" s="49"/>
    </row>
    <row r="115" spans="2:31">
      <c r="B115" s="422"/>
      <c r="C115" s="424"/>
      <c r="D115" s="426"/>
      <c r="E115" s="424" t="s">
        <v>188</v>
      </c>
      <c r="F115" s="45">
        <v>15</v>
      </c>
      <c r="G115" s="46">
        <v>0</v>
      </c>
      <c r="H115" s="47">
        <v>0</v>
      </c>
      <c r="I115" s="46">
        <v>0</v>
      </c>
      <c r="J115" s="48">
        <v>17</v>
      </c>
      <c r="K115" s="45">
        <v>32</v>
      </c>
      <c r="L115" s="46">
        <v>0</v>
      </c>
      <c r="M115" s="47">
        <v>0</v>
      </c>
      <c r="N115" s="46">
        <v>0</v>
      </c>
      <c r="O115" s="48">
        <v>0</v>
      </c>
      <c r="P115" s="45">
        <v>32</v>
      </c>
      <c r="Q115" s="46">
        <v>0</v>
      </c>
      <c r="R115" s="47">
        <v>0</v>
      </c>
      <c r="S115" s="46">
        <v>0</v>
      </c>
      <c r="T115" s="48">
        <v>0</v>
      </c>
      <c r="U115" s="429">
        <v>32</v>
      </c>
      <c r="V115" s="46">
        <v>0</v>
      </c>
      <c r="W115" s="47">
        <v>0</v>
      </c>
      <c r="X115" s="46">
        <v>0</v>
      </c>
      <c r="Y115" s="47">
        <v>0</v>
      </c>
      <c r="Z115" s="45">
        <v>32</v>
      </c>
      <c r="AA115" s="46">
        <v>0</v>
      </c>
      <c r="AB115" s="47">
        <v>0</v>
      </c>
      <c r="AC115" s="46">
        <v>0</v>
      </c>
      <c r="AD115" s="47">
        <v>0</v>
      </c>
      <c r="AE115" s="45">
        <v>32</v>
      </c>
    </row>
    <row r="116" spans="2:31">
      <c r="B116" s="422"/>
      <c r="C116" s="424"/>
      <c r="D116" s="426"/>
      <c r="E116" s="424" t="s">
        <v>189</v>
      </c>
      <c r="F116" s="45">
        <v>1496</v>
      </c>
      <c r="G116" s="46">
        <v>0</v>
      </c>
      <c r="H116" s="47">
        <v>0</v>
      </c>
      <c r="I116" s="46">
        <v>0</v>
      </c>
      <c r="J116" s="48">
        <v>0</v>
      </c>
      <c r="K116" s="45">
        <v>1496</v>
      </c>
      <c r="L116" s="46">
        <v>0</v>
      </c>
      <c r="M116" s="47">
        <v>2.1</v>
      </c>
      <c r="N116" s="46">
        <v>0.6</v>
      </c>
      <c r="O116" s="48">
        <v>1.5</v>
      </c>
      <c r="P116" s="45">
        <v>1496</v>
      </c>
      <c r="Q116" s="46">
        <v>0</v>
      </c>
      <c r="R116" s="47">
        <v>0</v>
      </c>
      <c r="S116" s="46">
        <v>0</v>
      </c>
      <c r="T116" s="48">
        <v>0</v>
      </c>
      <c r="U116" s="429">
        <v>1496</v>
      </c>
      <c r="V116" s="46">
        <v>0</v>
      </c>
      <c r="W116" s="47">
        <v>0</v>
      </c>
      <c r="X116" s="46">
        <v>54</v>
      </c>
      <c r="Y116" s="47">
        <v>0</v>
      </c>
      <c r="Z116" s="45">
        <v>1550</v>
      </c>
      <c r="AA116" s="46">
        <v>0</v>
      </c>
      <c r="AB116" s="47">
        <v>13.7</v>
      </c>
      <c r="AC116" s="46">
        <v>0</v>
      </c>
      <c r="AD116" s="47">
        <v>10.5</v>
      </c>
      <c r="AE116" s="45">
        <v>1546.8</v>
      </c>
    </row>
    <row r="117" spans="2:31">
      <c r="B117" s="422"/>
      <c r="C117" s="424"/>
      <c r="D117" s="426"/>
      <c r="E117" s="436"/>
      <c r="F117" s="49"/>
      <c r="G117" s="50"/>
      <c r="H117" s="51"/>
      <c r="I117" s="50"/>
      <c r="J117" s="52"/>
      <c r="K117" s="49"/>
      <c r="L117" s="50"/>
      <c r="M117" s="51"/>
      <c r="N117" s="50"/>
      <c r="O117" s="52"/>
      <c r="P117" s="49"/>
      <c r="Q117" s="50"/>
      <c r="R117" s="51"/>
      <c r="S117" s="50"/>
      <c r="T117" s="52"/>
      <c r="U117" s="430"/>
      <c r="V117" s="50"/>
      <c r="W117" s="51"/>
      <c r="X117" s="50"/>
      <c r="Y117" s="51"/>
      <c r="Z117" s="49"/>
      <c r="AA117" s="50"/>
      <c r="AB117" s="51"/>
      <c r="AC117" s="50"/>
      <c r="AD117" s="51"/>
      <c r="AE117" s="49"/>
    </row>
    <row r="118" spans="2:31">
      <c r="B118" s="422"/>
      <c r="C118" s="424"/>
      <c r="D118" s="426" t="s">
        <v>113</v>
      </c>
      <c r="E118" s="424"/>
      <c r="F118" s="49"/>
      <c r="G118" s="50"/>
      <c r="H118" s="51"/>
      <c r="I118" s="50"/>
      <c r="J118" s="52"/>
      <c r="K118" s="49"/>
      <c r="L118" s="50"/>
      <c r="M118" s="51"/>
      <c r="N118" s="50"/>
      <c r="O118" s="52"/>
      <c r="P118" s="49"/>
      <c r="Q118" s="50"/>
      <c r="R118" s="51"/>
      <c r="S118" s="50"/>
      <c r="T118" s="52"/>
      <c r="U118" s="430"/>
      <c r="V118" s="50"/>
      <c r="W118" s="51"/>
      <c r="X118" s="50"/>
      <c r="Y118" s="51"/>
      <c r="Z118" s="49"/>
      <c r="AA118" s="50"/>
      <c r="AB118" s="51"/>
      <c r="AC118" s="50"/>
      <c r="AD118" s="51"/>
      <c r="AE118" s="49"/>
    </row>
    <row r="119" spans="2:31">
      <c r="B119" s="422"/>
      <c r="C119" s="424"/>
      <c r="D119" s="426"/>
      <c r="E119" s="424" t="s">
        <v>190</v>
      </c>
      <c r="F119" s="45">
        <v>18.981438355083164</v>
      </c>
      <c r="G119" s="46">
        <v>0</v>
      </c>
      <c r="H119" s="47">
        <v>0</v>
      </c>
      <c r="I119" s="46">
        <v>0</v>
      </c>
      <c r="J119" s="48">
        <v>43</v>
      </c>
      <c r="K119" s="45">
        <v>61.981438355083164</v>
      </c>
      <c r="L119" s="46">
        <v>0</v>
      </c>
      <c r="M119" s="47">
        <v>0</v>
      </c>
      <c r="N119" s="46">
        <v>0</v>
      </c>
      <c r="O119" s="48">
        <v>0</v>
      </c>
      <c r="P119" s="45">
        <v>61.981438355083164</v>
      </c>
      <c r="Q119" s="46">
        <v>0</v>
      </c>
      <c r="R119" s="47">
        <v>0</v>
      </c>
      <c r="S119" s="46">
        <v>0</v>
      </c>
      <c r="T119" s="48">
        <v>1</v>
      </c>
      <c r="U119" s="429">
        <v>62.981438355083164</v>
      </c>
      <c r="V119" s="46">
        <v>0</v>
      </c>
      <c r="W119" s="47">
        <v>10.981438355083162</v>
      </c>
      <c r="X119" s="46">
        <v>0</v>
      </c>
      <c r="Y119" s="47">
        <v>0</v>
      </c>
      <c r="Z119" s="45">
        <v>52</v>
      </c>
      <c r="AA119" s="46">
        <v>0</v>
      </c>
      <c r="AB119" s="47">
        <v>0</v>
      </c>
      <c r="AC119" s="46">
        <v>0</v>
      </c>
      <c r="AD119" s="47">
        <v>0</v>
      </c>
      <c r="AE119" s="45">
        <v>52</v>
      </c>
    </row>
    <row r="120" spans="2:31">
      <c r="B120" s="422"/>
      <c r="C120" s="424"/>
      <c r="D120" s="426"/>
      <c r="E120" s="424" t="s">
        <v>191</v>
      </c>
      <c r="F120" s="45">
        <v>3144</v>
      </c>
      <c r="G120" s="46">
        <v>0</v>
      </c>
      <c r="H120" s="47">
        <v>0</v>
      </c>
      <c r="I120" s="46">
        <v>0</v>
      </c>
      <c r="J120" s="48">
        <v>0</v>
      </c>
      <c r="K120" s="45">
        <v>3144</v>
      </c>
      <c r="L120" s="46">
        <v>0</v>
      </c>
      <c r="M120" s="47">
        <v>0</v>
      </c>
      <c r="N120" s="46">
        <v>0</v>
      </c>
      <c r="O120" s="48">
        <v>0</v>
      </c>
      <c r="P120" s="45">
        <v>3144</v>
      </c>
      <c r="Q120" s="46">
        <v>0</v>
      </c>
      <c r="R120" s="47">
        <v>12</v>
      </c>
      <c r="S120" s="46">
        <v>0</v>
      </c>
      <c r="T120" s="48">
        <v>0</v>
      </c>
      <c r="U120" s="429">
        <v>3132</v>
      </c>
      <c r="V120" s="46">
        <v>0</v>
      </c>
      <c r="W120" s="47">
        <v>0</v>
      </c>
      <c r="X120" s="46">
        <v>0</v>
      </c>
      <c r="Y120" s="47">
        <v>5</v>
      </c>
      <c r="Z120" s="45">
        <v>3137</v>
      </c>
      <c r="AA120" s="46">
        <v>0</v>
      </c>
      <c r="AB120" s="47">
        <v>84</v>
      </c>
      <c r="AC120" s="46">
        <v>0</v>
      </c>
      <c r="AD120" s="47">
        <v>72</v>
      </c>
      <c r="AE120" s="45">
        <v>3125</v>
      </c>
    </row>
    <row r="121" spans="2:31">
      <c r="B121" s="422"/>
      <c r="C121" s="424"/>
      <c r="D121" s="426"/>
      <c r="E121" s="436" t="s">
        <v>192</v>
      </c>
      <c r="F121" s="45">
        <v>6274</v>
      </c>
      <c r="G121" s="46">
        <v>0</v>
      </c>
      <c r="H121" s="47">
        <v>0</v>
      </c>
      <c r="I121" s="46">
        <v>0</v>
      </c>
      <c r="J121" s="48">
        <v>0</v>
      </c>
      <c r="K121" s="45">
        <v>6274</v>
      </c>
      <c r="L121" s="46">
        <v>0</v>
      </c>
      <c r="M121" s="47">
        <v>0</v>
      </c>
      <c r="N121" s="46">
        <v>0</v>
      </c>
      <c r="O121" s="48">
        <v>0</v>
      </c>
      <c r="P121" s="45">
        <v>6274</v>
      </c>
      <c r="Q121" s="46">
        <v>0</v>
      </c>
      <c r="R121" s="47">
        <v>0</v>
      </c>
      <c r="S121" s="46">
        <v>0</v>
      </c>
      <c r="T121" s="48">
        <v>0</v>
      </c>
      <c r="U121" s="429">
        <v>6274</v>
      </c>
      <c r="V121" s="46">
        <v>0</v>
      </c>
      <c r="W121" s="47">
        <v>0</v>
      </c>
      <c r="X121" s="46">
        <v>0</v>
      </c>
      <c r="Y121" s="47">
        <v>0</v>
      </c>
      <c r="Z121" s="45">
        <v>6274</v>
      </c>
      <c r="AA121" s="46">
        <v>0</v>
      </c>
      <c r="AB121" s="47">
        <v>168</v>
      </c>
      <c r="AC121" s="46">
        <v>0</v>
      </c>
      <c r="AD121" s="47">
        <v>120</v>
      </c>
      <c r="AE121" s="45">
        <v>6226</v>
      </c>
    </row>
    <row r="122" spans="2:31">
      <c r="B122" s="422"/>
      <c r="C122" s="424"/>
      <c r="D122" s="424"/>
      <c r="E122" s="424"/>
      <c r="F122" s="49"/>
      <c r="G122" s="50"/>
      <c r="H122" s="51"/>
      <c r="I122" s="50"/>
      <c r="J122" s="52"/>
      <c r="K122" s="49"/>
      <c r="L122" s="50"/>
      <c r="M122" s="51"/>
      <c r="N122" s="50"/>
      <c r="O122" s="52"/>
      <c r="P122" s="49"/>
      <c r="Q122" s="50"/>
      <c r="R122" s="51"/>
      <c r="S122" s="50"/>
      <c r="T122" s="52"/>
      <c r="U122" s="430"/>
      <c r="V122" s="50"/>
      <c r="W122" s="51"/>
      <c r="X122" s="50"/>
      <c r="Y122" s="51"/>
      <c r="Z122" s="49"/>
      <c r="AA122" s="50"/>
      <c r="AB122" s="51"/>
      <c r="AC122" s="50"/>
      <c r="AD122" s="51"/>
      <c r="AE122" s="49"/>
    </row>
    <row r="123" spans="2:31">
      <c r="B123" s="422"/>
      <c r="C123" s="424"/>
      <c r="D123" s="426" t="s">
        <v>134</v>
      </c>
      <c r="E123" s="424"/>
      <c r="F123" s="49"/>
      <c r="G123" s="50"/>
      <c r="H123" s="51"/>
      <c r="I123" s="50"/>
      <c r="J123" s="52"/>
      <c r="K123" s="49"/>
      <c r="L123" s="50"/>
      <c r="M123" s="51"/>
      <c r="N123" s="50"/>
      <c r="O123" s="52"/>
      <c r="P123" s="49"/>
      <c r="Q123" s="50"/>
      <c r="R123" s="51"/>
      <c r="S123" s="50"/>
      <c r="T123" s="52"/>
      <c r="U123" s="430"/>
      <c r="V123" s="50"/>
      <c r="W123" s="51"/>
      <c r="X123" s="50"/>
      <c r="Y123" s="51"/>
      <c r="Z123" s="49"/>
      <c r="AA123" s="50"/>
      <c r="AB123" s="51"/>
      <c r="AC123" s="50"/>
      <c r="AD123" s="51"/>
      <c r="AE123" s="49"/>
    </row>
    <row r="124" spans="2:31">
      <c r="B124" s="422"/>
      <c r="C124" s="424"/>
      <c r="D124" s="424"/>
      <c r="E124" s="424" t="s">
        <v>193</v>
      </c>
      <c r="F124" s="45">
        <v>179.9</v>
      </c>
      <c r="G124" s="46">
        <v>0</v>
      </c>
      <c r="H124" s="47">
        <v>0</v>
      </c>
      <c r="I124" s="46">
        <v>0</v>
      </c>
      <c r="J124" s="48">
        <v>0.15</v>
      </c>
      <c r="K124" s="45">
        <v>180.05</v>
      </c>
      <c r="L124" s="46">
        <v>0</v>
      </c>
      <c r="M124" s="47">
        <v>6</v>
      </c>
      <c r="N124" s="46">
        <v>0</v>
      </c>
      <c r="O124" s="48">
        <v>6</v>
      </c>
      <c r="P124" s="45">
        <v>180.05</v>
      </c>
      <c r="Q124" s="46">
        <v>0</v>
      </c>
      <c r="R124" s="47">
        <v>5.3</v>
      </c>
      <c r="S124" s="46">
        <v>0</v>
      </c>
      <c r="T124" s="48">
        <v>5.3</v>
      </c>
      <c r="U124" s="429">
        <v>180.05</v>
      </c>
      <c r="V124" s="46">
        <v>0</v>
      </c>
      <c r="W124" s="47">
        <v>0</v>
      </c>
      <c r="X124" s="46">
        <v>1.45</v>
      </c>
      <c r="Y124" s="47">
        <v>1.5</v>
      </c>
      <c r="Z124" s="45">
        <v>183</v>
      </c>
      <c r="AA124" s="46">
        <v>0</v>
      </c>
      <c r="AB124" s="47">
        <v>0</v>
      </c>
      <c r="AC124" s="46">
        <v>25</v>
      </c>
      <c r="AD124" s="47">
        <v>4.88</v>
      </c>
      <c r="AE124" s="45">
        <v>212.88</v>
      </c>
    </row>
    <row r="125" spans="2:31">
      <c r="B125" s="422"/>
      <c r="C125" s="424"/>
      <c r="D125" s="424"/>
      <c r="E125" s="424" t="s">
        <v>194</v>
      </c>
      <c r="F125" s="45">
        <v>169.5</v>
      </c>
      <c r="G125" s="46">
        <v>0</v>
      </c>
      <c r="H125" s="47">
        <v>0</v>
      </c>
      <c r="I125" s="46">
        <v>0</v>
      </c>
      <c r="J125" s="48">
        <v>0</v>
      </c>
      <c r="K125" s="45">
        <v>169.5</v>
      </c>
      <c r="L125" s="46">
        <v>0</v>
      </c>
      <c r="M125" s="47">
        <v>0</v>
      </c>
      <c r="N125" s="46">
        <v>0</v>
      </c>
      <c r="O125" s="48">
        <v>0</v>
      </c>
      <c r="P125" s="45">
        <v>169.5</v>
      </c>
      <c r="Q125" s="46">
        <v>0</v>
      </c>
      <c r="R125" s="47">
        <v>0</v>
      </c>
      <c r="S125" s="46">
        <v>0</v>
      </c>
      <c r="T125" s="48">
        <v>0</v>
      </c>
      <c r="U125" s="429">
        <v>169.5</v>
      </c>
      <c r="V125" s="46">
        <v>0</v>
      </c>
      <c r="W125" s="47">
        <v>1.5</v>
      </c>
      <c r="X125" s="46">
        <v>0</v>
      </c>
      <c r="Y125" s="47">
        <v>0</v>
      </c>
      <c r="Z125" s="45">
        <v>168</v>
      </c>
      <c r="AA125" s="46">
        <v>0</v>
      </c>
      <c r="AB125" s="47">
        <v>1.68</v>
      </c>
      <c r="AC125" s="46">
        <v>0</v>
      </c>
      <c r="AD125" s="47">
        <v>0</v>
      </c>
      <c r="AE125" s="45">
        <v>166.32</v>
      </c>
    </row>
    <row r="126" spans="2:31">
      <c r="B126" s="422"/>
      <c r="C126" s="424"/>
      <c r="D126" s="424"/>
      <c r="E126" s="424" t="s">
        <v>195</v>
      </c>
      <c r="F126" s="45">
        <v>5</v>
      </c>
      <c r="G126" s="46">
        <v>0</v>
      </c>
      <c r="H126" s="47">
        <v>0</v>
      </c>
      <c r="I126" s="46">
        <v>0</v>
      </c>
      <c r="J126" s="48">
        <v>0</v>
      </c>
      <c r="K126" s="45">
        <v>5</v>
      </c>
      <c r="L126" s="46">
        <v>0</v>
      </c>
      <c r="M126" s="47">
        <v>0</v>
      </c>
      <c r="N126" s="46">
        <v>0</v>
      </c>
      <c r="O126" s="48">
        <v>0</v>
      </c>
      <c r="P126" s="45">
        <v>5</v>
      </c>
      <c r="Q126" s="46">
        <v>0</v>
      </c>
      <c r="R126" s="47">
        <v>0</v>
      </c>
      <c r="S126" s="46">
        <v>0</v>
      </c>
      <c r="T126" s="48">
        <v>0</v>
      </c>
      <c r="U126" s="429">
        <v>5</v>
      </c>
      <c r="V126" s="46">
        <v>0</v>
      </c>
      <c r="W126" s="47">
        <v>0</v>
      </c>
      <c r="X126" s="46">
        <v>0</v>
      </c>
      <c r="Y126" s="47">
        <v>0</v>
      </c>
      <c r="Z126" s="45">
        <v>5</v>
      </c>
      <c r="AA126" s="46">
        <v>0</v>
      </c>
      <c r="AB126" s="47">
        <v>0</v>
      </c>
      <c r="AC126" s="46">
        <v>0</v>
      </c>
      <c r="AD126" s="47">
        <v>0</v>
      </c>
      <c r="AE126" s="45">
        <v>5</v>
      </c>
    </row>
    <row r="127" spans="2:31">
      <c r="B127" s="422"/>
      <c r="C127" s="424"/>
      <c r="D127" s="424"/>
      <c r="E127" s="424"/>
      <c r="F127" s="49"/>
      <c r="G127" s="50"/>
      <c r="H127" s="51"/>
      <c r="I127" s="50"/>
      <c r="J127" s="52"/>
      <c r="K127" s="49"/>
      <c r="L127" s="50"/>
      <c r="M127" s="51"/>
      <c r="N127" s="50"/>
      <c r="O127" s="52"/>
      <c r="P127" s="49"/>
      <c r="Q127" s="50"/>
      <c r="R127" s="51"/>
      <c r="S127" s="50"/>
      <c r="T127" s="52"/>
      <c r="U127" s="430"/>
      <c r="V127" s="50"/>
      <c r="W127" s="51"/>
      <c r="X127" s="50"/>
      <c r="Y127" s="51"/>
      <c r="Z127" s="49"/>
      <c r="AA127" s="50"/>
      <c r="AB127" s="51"/>
      <c r="AC127" s="50"/>
      <c r="AD127" s="51"/>
      <c r="AE127" s="49"/>
    </row>
    <row r="128" spans="2:31">
      <c r="B128" s="422"/>
      <c r="C128" s="424"/>
      <c r="D128" s="426" t="s">
        <v>137</v>
      </c>
      <c r="E128" s="424"/>
      <c r="F128" s="49"/>
      <c r="G128" s="50"/>
      <c r="H128" s="51"/>
      <c r="I128" s="50"/>
      <c r="J128" s="52"/>
      <c r="K128" s="49"/>
      <c r="L128" s="50"/>
      <c r="M128" s="51"/>
      <c r="N128" s="50"/>
      <c r="O128" s="52"/>
      <c r="P128" s="49"/>
      <c r="Q128" s="50"/>
      <c r="R128" s="51"/>
      <c r="S128" s="50"/>
      <c r="T128" s="52"/>
      <c r="U128" s="430"/>
      <c r="V128" s="50"/>
      <c r="W128" s="51"/>
      <c r="X128" s="50"/>
      <c r="Y128" s="51"/>
      <c r="Z128" s="49"/>
      <c r="AA128" s="50"/>
      <c r="AB128" s="51"/>
      <c r="AC128" s="50"/>
      <c r="AD128" s="51"/>
      <c r="AE128" s="49"/>
    </row>
    <row r="129" spans="2:31">
      <c r="B129" s="422"/>
      <c r="C129" s="424"/>
      <c r="D129" s="424"/>
      <c r="E129" s="436" t="s">
        <v>196</v>
      </c>
      <c r="F129" s="45">
        <v>0</v>
      </c>
      <c r="G129" s="46">
        <v>0</v>
      </c>
      <c r="H129" s="47">
        <v>0</v>
      </c>
      <c r="I129" s="46">
        <v>0</v>
      </c>
      <c r="J129" s="48">
        <v>0</v>
      </c>
      <c r="K129" s="45">
        <v>0</v>
      </c>
      <c r="L129" s="46">
        <v>0</v>
      </c>
      <c r="M129" s="47">
        <v>0</v>
      </c>
      <c r="N129" s="46">
        <v>0</v>
      </c>
      <c r="O129" s="48">
        <v>0</v>
      </c>
      <c r="P129" s="45">
        <v>0</v>
      </c>
      <c r="Q129" s="46">
        <v>0</v>
      </c>
      <c r="R129" s="47">
        <v>0</v>
      </c>
      <c r="S129" s="46">
        <v>0</v>
      </c>
      <c r="T129" s="48">
        <v>0</v>
      </c>
      <c r="U129" s="429">
        <v>0</v>
      </c>
      <c r="V129" s="46">
        <v>0</v>
      </c>
      <c r="W129" s="47">
        <v>0</v>
      </c>
      <c r="X129" s="46">
        <v>0</v>
      </c>
      <c r="Y129" s="47">
        <v>0</v>
      </c>
      <c r="Z129" s="45">
        <v>0</v>
      </c>
      <c r="AA129" s="46">
        <v>0</v>
      </c>
      <c r="AB129" s="47">
        <v>0</v>
      </c>
      <c r="AC129" s="46">
        <v>0</v>
      </c>
      <c r="AD129" s="47">
        <v>0</v>
      </c>
      <c r="AE129" s="45">
        <v>0</v>
      </c>
    </row>
    <row r="130" spans="2:31">
      <c r="B130" s="422"/>
      <c r="C130" s="424"/>
      <c r="D130" s="424"/>
      <c r="E130" s="424"/>
      <c r="F130" s="49"/>
      <c r="G130" s="50"/>
      <c r="H130" s="51"/>
      <c r="I130" s="50"/>
      <c r="J130" s="52"/>
      <c r="K130" s="49"/>
      <c r="L130" s="50"/>
      <c r="M130" s="51"/>
      <c r="N130" s="50"/>
      <c r="O130" s="52"/>
      <c r="P130" s="49"/>
      <c r="Q130" s="50"/>
      <c r="R130" s="51"/>
      <c r="S130" s="50"/>
      <c r="T130" s="52"/>
      <c r="U130" s="430"/>
      <c r="V130" s="50"/>
      <c r="W130" s="51"/>
      <c r="X130" s="50"/>
      <c r="Y130" s="51"/>
      <c r="Z130" s="49"/>
      <c r="AA130" s="50"/>
      <c r="AB130" s="51"/>
      <c r="AC130" s="50"/>
      <c r="AD130" s="51"/>
      <c r="AE130" s="49"/>
    </row>
    <row r="131" spans="2:31">
      <c r="B131" s="422"/>
      <c r="C131" s="424"/>
      <c r="D131" s="426" t="s">
        <v>120</v>
      </c>
      <c r="E131" s="424"/>
      <c r="F131" s="49"/>
      <c r="G131" s="50"/>
      <c r="H131" s="51"/>
      <c r="I131" s="50"/>
      <c r="J131" s="52"/>
      <c r="K131" s="49"/>
      <c r="L131" s="50"/>
      <c r="M131" s="51"/>
      <c r="N131" s="50"/>
      <c r="O131" s="52"/>
      <c r="P131" s="49"/>
      <c r="Q131" s="50"/>
      <c r="R131" s="51"/>
      <c r="S131" s="50"/>
      <c r="T131" s="52"/>
      <c r="U131" s="430"/>
      <c r="V131" s="50"/>
      <c r="W131" s="51"/>
      <c r="X131" s="50"/>
      <c r="Y131" s="51"/>
      <c r="Z131" s="49"/>
      <c r="AA131" s="50"/>
      <c r="AB131" s="51"/>
      <c r="AC131" s="50"/>
      <c r="AD131" s="51"/>
      <c r="AE131" s="49"/>
    </row>
    <row r="132" spans="2:31">
      <c r="B132" s="422"/>
      <c r="C132" s="424"/>
      <c r="D132" s="424"/>
      <c r="E132" s="424" t="s">
        <v>197</v>
      </c>
      <c r="F132" s="45">
        <v>189</v>
      </c>
      <c r="G132" s="46">
        <v>0</v>
      </c>
      <c r="H132" s="47">
        <v>0</v>
      </c>
      <c r="I132" s="46">
        <v>0</v>
      </c>
      <c r="J132" s="48">
        <v>0</v>
      </c>
      <c r="K132" s="45">
        <v>189</v>
      </c>
      <c r="L132" s="46">
        <v>15</v>
      </c>
      <c r="M132" s="47">
        <v>0</v>
      </c>
      <c r="N132" s="46">
        <v>15</v>
      </c>
      <c r="O132" s="48">
        <v>0</v>
      </c>
      <c r="P132" s="45">
        <v>189</v>
      </c>
      <c r="Q132" s="46">
        <v>0</v>
      </c>
      <c r="R132" s="47">
        <v>17</v>
      </c>
      <c r="S132" s="46">
        <v>0</v>
      </c>
      <c r="T132" s="48">
        <v>0</v>
      </c>
      <c r="U132" s="429">
        <v>172</v>
      </c>
      <c r="V132" s="46">
        <v>0</v>
      </c>
      <c r="W132" s="47">
        <v>0</v>
      </c>
      <c r="X132" s="46">
        <v>0</v>
      </c>
      <c r="Y132" s="47">
        <v>1</v>
      </c>
      <c r="Z132" s="45">
        <v>173</v>
      </c>
      <c r="AA132" s="46">
        <v>0</v>
      </c>
      <c r="AB132" s="47">
        <v>1</v>
      </c>
      <c r="AC132" s="46">
        <v>2</v>
      </c>
      <c r="AD132" s="47">
        <v>1</v>
      </c>
      <c r="AE132" s="45">
        <v>175</v>
      </c>
    </row>
    <row r="133" spans="2:31">
      <c r="B133" s="422"/>
      <c r="C133" s="424"/>
      <c r="D133" s="424"/>
      <c r="E133" s="424" t="s">
        <v>198</v>
      </c>
      <c r="F133" s="45">
        <v>1186</v>
      </c>
      <c r="G133" s="46">
        <v>0</v>
      </c>
      <c r="H133" s="47">
        <v>6</v>
      </c>
      <c r="I133" s="46">
        <v>0</v>
      </c>
      <c r="J133" s="48">
        <v>2</v>
      </c>
      <c r="K133" s="45">
        <v>1182</v>
      </c>
      <c r="L133" s="46">
        <v>0</v>
      </c>
      <c r="M133" s="47">
        <v>2</v>
      </c>
      <c r="N133" s="46">
        <v>0</v>
      </c>
      <c r="O133" s="48">
        <v>2</v>
      </c>
      <c r="P133" s="45">
        <v>1182</v>
      </c>
      <c r="Q133" s="46">
        <v>0</v>
      </c>
      <c r="R133" s="47">
        <v>64</v>
      </c>
      <c r="S133" s="46">
        <v>0</v>
      </c>
      <c r="T133" s="48">
        <v>17</v>
      </c>
      <c r="U133" s="429">
        <v>1135</v>
      </c>
      <c r="V133" s="46">
        <v>0</v>
      </c>
      <c r="W133" s="47">
        <v>125</v>
      </c>
      <c r="X133" s="46">
        <v>0</v>
      </c>
      <c r="Y133" s="47">
        <v>0</v>
      </c>
      <c r="Z133" s="45">
        <v>1010</v>
      </c>
      <c r="AA133" s="46">
        <v>0</v>
      </c>
      <c r="AB133" s="47">
        <v>0</v>
      </c>
      <c r="AC133" s="46">
        <v>0</v>
      </c>
      <c r="AD133" s="47">
        <v>0</v>
      </c>
      <c r="AE133" s="45">
        <v>1010</v>
      </c>
    </row>
    <row r="134" spans="2:31">
      <c r="B134" s="422"/>
      <c r="C134" s="424"/>
      <c r="D134" s="424"/>
      <c r="E134" s="424"/>
      <c r="F134" s="49"/>
      <c r="G134" s="50"/>
      <c r="H134" s="51"/>
      <c r="I134" s="50"/>
      <c r="J134" s="52"/>
      <c r="K134" s="49"/>
      <c r="L134" s="50"/>
      <c r="M134" s="51"/>
      <c r="N134" s="50"/>
      <c r="O134" s="52"/>
      <c r="P134" s="49"/>
      <c r="Q134" s="50"/>
      <c r="R134" s="51"/>
      <c r="S134" s="50"/>
      <c r="T134" s="52"/>
      <c r="U134" s="430"/>
      <c r="V134" s="50"/>
      <c r="W134" s="51"/>
      <c r="X134" s="50"/>
      <c r="Y134" s="51"/>
      <c r="Z134" s="49"/>
      <c r="AA134" s="50"/>
      <c r="AB134" s="51"/>
      <c r="AC134" s="50"/>
      <c r="AD134" s="51"/>
      <c r="AE134" s="49"/>
    </row>
    <row r="135" spans="2:31">
      <c r="B135" s="422"/>
      <c r="C135" s="424"/>
      <c r="D135" s="426" t="s">
        <v>153</v>
      </c>
      <c r="E135" s="424"/>
      <c r="F135" s="49"/>
      <c r="G135" s="50"/>
      <c r="H135" s="51"/>
      <c r="I135" s="50"/>
      <c r="J135" s="52"/>
      <c r="K135" s="49"/>
      <c r="L135" s="50"/>
      <c r="M135" s="51"/>
      <c r="N135" s="50"/>
      <c r="O135" s="52"/>
      <c r="P135" s="49"/>
      <c r="Q135" s="50"/>
      <c r="R135" s="51"/>
      <c r="S135" s="50"/>
      <c r="T135" s="52"/>
      <c r="U135" s="430"/>
      <c r="V135" s="50"/>
      <c r="W135" s="51"/>
      <c r="X135" s="50"/>
      <c r="Y135" s="51"/>
      <c r="Z135" s="49"/>
      <c r="AA135" s="50"/>
      <c r="AB135" s="51"/>
      <c r="AC135" s="50"/>
      <c r="AD135" s="51"/>
      <c r="AE135" s="49"/>
    </row>
    <row r="136" spans="2:31">
      <c r="B136" s="422"/>
      <c r="C136" s="424"/>
      <c r="D136" s="424"/>
      <c r="E136" s="436" t="s">
        <v>199</v>
      </c>
      <c r="F136" s="45">
        <v>150</v>
      </c>
      <c r="G136" s="46">
        <v>0</v>
      </c>
      <c r="H136" s="47">
        <v>1</v>
      </c>
      <c r="I136" s="46">
        <v>0</v>
      </c>
      <c r="J136" s="48">
        <v>1</v>
      </c>
      <c r="K136" s="45">
        <v>150</v>
      </c>
      <c r="L136" s="46">
        <v>0</v>
      </c>
      <c r="M136" s="47">
        <v>2</v>
      </c>
      <c r="N136" s="46">
        <v>0</v>
      </c>
      <c r="O136" s="48">
        <v>3</v>
      </c>
      <c r="P136" s="45">
        <v>151</v>
      </c>
      <c r="Q136" s="46">
        <v>0</v>
      </c>
      <c r="R136" s="47">
        <v>0</v>
      </c>
      <c r="S136" s="46">
        <v>2</v>
      </c>
      <c r="T136" s="48">
        <v>0</v>
      </c>
      <c r="U136" s="429">
        <v>153</v>
      </c>
      <c r="V136" s="46">
        <v>2</v>
      </c>
      <c r="W136" s="47">
        <v>0</v>
      </c>
      <c r="X136" s="46">
        <v>1</v>
      </c>
      <c r="Y136" s="47">
        <v>1</v>
      </c>
      <c r="Z136" s="45">
        <v>153</v>
      </c>
      <c r="AA136" s="46">
        <v>0</v>
      </c>
      <c r="AB136" s="47">
        <v>0</v>
      </c>
      <c r="AC136" s="46">
        <v>0</v>
      </c>
      <c r="AD136" s="47">
        <v>0</v>
      </c>
      <c r="AE136" s="45">
        <v>153</v>
      </c>
    </row>
    <row r="137" spans="2:31">
      <c r="B137" s="422"/>
      <c r="C137" s="424"/>
      <c r="D137" s="424"/>
      <c r="E137" s="436" t="s">
        <v>200</v>
      </c>
      <c r="F137" s="45">
        <v>142</v>
      </c>
      <c r="G137" s="46">
        <v>0</v>
      </c>
      <c r="H137" s="47">
        <v>0</v>
      </c>
      <c r="I137" s="46">
        <v>0</v>
      </c>
      <c r="J137" s="48">
        <v>0</v>
      </c>
      <c r="K137" s="45">
        <v>142</v>
      </c>
      <c r="L137" s="46">
        <v>0</v>
      </c>
      <c r="M137" s="47">
        <v>0</v>
      </c>
      <c r="N137" s="46">
        <v>0</v>
      </c>
      <c r="O137" s="48">
        <v>0</v>
      </c>
      <c r="P137" s="45">
        <v>142</v>
      </c>
      <c r="Q137" s="46">
        <v>0</v>
      </c>
      <c r="R137" s="47">
        <v>0</v>
      </c>
      <c r="S137" s="46">
        <v>0</v>
      </c>
      <c r="T137" s="48">
        <v>0</v>
      </c>
      <c r="U137" s="429">
        <v>142</v>
      </c>
      <c r="V137" s="46">
        <v>0</v>
      </c>
      <c r="W137" s="47">
        <v>0</v>
      </c>
      <c r="X137" s="46">
        <v>0</v>
      </c>
      <c r="Y137" s="47">
        <v>0</v>
      </c>
      <c r="Z137" s="45">
        <v>142</v>
      </c>
      <c r="AA137" s="46">
        <v>0</v>
      </c>
      <c r="AB137" s="47">
        <v>0</v>
      </c>
      <c r="AC137" s="46">
        <v>0</v>
      </c>
      <c r="AD137" s="47">
        <v>0</v>
      </c>
      <c r="AE137" s="45">
        <v>142</v>
      </c>
    </row>
    <row r="138" spans="2:31" ht="15.75" thickBot="1">
      <c r="B138" s="431"/>
      <c r="C138" s="432"/>
      <c r="D138" s="432"/>
      <c r="E138" s="432"/>
      <c r="F138" s="53"/>
      <c r="G138" s="54"/>
      <c r="H138" s="55"/>
      <c r="I138" s="54"/>
      <c r="J138" s="56"/>
      <c r="K138" s="57"/>
      <c r="L138" s="54"/>
      <c r="M138" s="55"/>
      <c r="N138" s="54"/>
      <c r="O138" s="56"/>
      <c r="P138" s="57"/>
      <c r="Q138" s="54"/>
      <c r="R138" s="55"/>
      <c r="S138" s="54"/>
      <c r="T138" s="56"/>
      <c r="U138" s="433"/>
      <c r="V138" s="54"/>
      <c r="W138" s="55"/>
      <c r="X138" s="54"/>
      <c r="Y138" s="55"/>
      <c r="Z138" s="57"/>
      <c r="AA138" s="54"/>
      <c r="AB138" s="55"/>
      <c r="AC138" s="54"/>
      <c r="AD138" s="55"/>
      <c r="AE138" s="57"/>
    </row>
    <row r="139" spans="2:31">
      <c r="B139" s="434"/>
      <c r="C139" s="435" t="s">
        <v>201</v>
      </c>
      <c r="D139" s="435"/>
      <c r="E139" s="436"/>
      <c r="F139" s="49"/>
      <c r="G139" s="50"/>
      <c r="H139" s="51"/>
      <c r="I139" s="50"/>
      <c r="J139" s="52"/>
      <c r="K139" s="49"/>
      <c r="L139" s="50"/>
      <c r="M139" s="51"/>
      <c r="N139" s="50"/>
      <c r="O139" s="52"/>
      <c r="P139" s="49"/>
      <c r="Q139" s="50"/>
      <c r="R139" s="51"/>
      <c r="S139" s="50"/>
      <c r="T139" s="52"/>
      <c r="U139" s="430"/>
      <c r="V139" s="50"/>
      <c r="W139" s="51"/>
      <c r="X139" s="50"/>
      <c r="Y139" s="51"/>
      <c r="Z139" s="49"/>
      <c r="AA139" s="50"/>
      <c r="AB139" s="51"/>
      <c r="AC139" s="50"/>
      <c r="AD139" s="51"/>
      <c r="AE139" s="49"/>
    </row>
    <row r="140" spans="2:31">
      <c r="B140" s="422"/>
      <c r="C140" s="424"/>
      <c r="D140" s="426" t="s">
        <v>202</v>
      </c>
      <c r="E140" s="424"/>
      <c r="F140" s="49"/>
      <c r="G140" s="50"/>
      <c r="H140" s="51"/>
      <c r="I140" s="50"/>
      <c r="J140" s="52"/>
      <c r="K140" s="49"/>
      <c r="L140" s="50"/>
      <c r="M140" s="51"/>
      <c r="N140" s="50"/>
      <c r="O140" s="52"/>
      <c r="P140" s="49"/>
      <c r="Q140" s="50"/>
      <c r="R140" s="51"/>
      <c r="S140" s="50"/>
      <c r="T140" s="52"/>
      <c r="U140" s="430"/>
      <c r="V140" s="50"/>
      <c r="W140" s="51"/>
      <c r="X140" s="50"/>
      <c r="Y140" s="51"/>
      <c r="Z140" s="49"/>
      <c r="AA140" s="50"/>
      <c r="AB140" s="51"/>
      <c r="AC140" s="50"/>
      <c r="AD140" s="51"/>
      <c r="AE140" s="49"/>
    </row>
    <row r="141" spans="2:31">
      <c r="B141" s="422"/>
      <c r="C141" s="424"/>
      <c r="D141" s="424"/>
      <c r="E141" s="436" t="s">
        <v>203</v>
      </c>
      <c r="F141" s="45">
        <v>0</v>
      </c>
      <c r="G141" s="46">
        <v>0</v>
      </c>
      <c r="H141" s="47">
        <v>0</v>
      </c>
      <c r="I141" s="46">
        <v>0</v>
      </c>
      <c r="J141" s="48">
        <v>0</v>
      </c>
      <c r="K141" s="45">
        <v>0</v>
      </c>
      <c r="L141" s="46">
        <v>0</v>
      </c>
      <c r="M141" s="47">
        <v>0</v>
      </c>
      <c r="N141" s="46">
        <v>0</v>
      </c>
      <c r="O141" s="48">
        <v>0</v>
      </c>
      <c r="P141" s="45">
        <v>0</v>
      </c>
      <c r="Q141" s="46">
        <v>0</v>
      </c>
      <c r="R141" s="47">
        <v>0</v>
      </c>
      <c r="S141" s="46">
        <v>0</v>
      </c>
      <c r="T141" s="48">
        <v>0</v>
      </c>
      <c r="U141" s="429">
        <v>0</v>
      </c>
      <c r="V141" s="46">
        <v>0</v>
      </c>
      <c r="W141" s="47">
        <v>0</v>
      </c>
      <c r="X141" s="46">
        <v>0</v>
      </c>
      <c r="Y141" s="47">
        <v>0</v>
      </c>
      <c r="Z141" s="45">
        <v>0</v>
      </c>
      <c r="AA141" s="46">
        <v>0</v>
      </c>
      <c r="AB141" s="47">
        <v>0</v>
      </c>
      <c r="AC141" s="46">
        <v>0</v>
      </c>
      <c r="AD141" s="47">
        <v>0</v>
      </c>
      <c r="AE141" s="45">
        <v>0</v>
      </c>
    </row>
    <row r="142" spans="2:31">
      <c r="B142" s="422"/>
      <c r="C142" s="424"/>
      <c r="D142" s="424"/>
      <c r="E142" s="436" t="s">
        <v>204</v>
      </c>
      <c r="F142" s="45">
        <v>448</v>
      </c>
      <c r="G142" s="46">
        <v>0</v>
      </c>
      <c r="H142" s="47">
        <v>0</v>
      </c>
      <c r="I142" s="46">
        <v>0</v>
      </c>
      <c r="J142" s="48">
        <v>0</v>
      </c>
      <c r="K142" s="45">
        <v>448</v>
      </c>
      <c r="L142" s="46">
        <v>0</v>
      </c>
      <c r="M142" s="47">
        <v>0</v>
      </c>
      <c r="N142" s="46">
        <v>0</v>
      </c>
      <c r="O142" s="48">
        <v>0</v>
      </c>
      <c r="P142" s="45">
        <v>448</v>
      </c>
      <c r="Q142" s="46">
        <v>0</v>
      </c>
      <c r="R142" s="47">
        <v>0</v>
      </c>
      <c r="S142" s="46">
        <v>0</v>
      </c>
      <c r="T142" s="48">
        <v>1</v>
      </c>
      <c r="U142" s="429">
        <v>449</v>
      </c>
      <c r="V142" s="46">
        <v>0</v>
      </c>
      <c r="W142" s="47">
        <v>0</v>
      </c>
      <c r="X142" s="46">
        <v>0</v>
      </c>
      <c r="Y142" s="47">
        <v>0</v>
      </c>
      <c r="Z142" s="45">
        <v>449</v>
      </c>
      <c r="AA142" s="46">
        <v>0</v>
      </c>
      <c r="AB142" s="47">
        <v>0</v>
      </c>
      <c r="AC142" s="46">
        <v>0</v>
      </c>
      <c r="AD142" s="47">
        <v>0</v>
      </c>
      <c r="AE142" s="45">
        <v>449</v>
      </c>
    </row>
    <row r="143" spans="2:31">
      <c r="B143" s="422"/>
      <c r="C143" s="436"/>
      <c r="D143" s="426"/>
      <c r="E143" s="424"/>
      <c r="F143" s="49"/>
      <c r="G143" s="50"/>
      <c r="H143" s="51"/>
      <c r="I143" s="50"/>
      <c r="J143" s="52"/>
      <c r="K143" s="49"/>
      <c r="L143" s="50"/>
      <c r="M143" s="51"/>
      <c r="N143" s="50"/>
      <c r="O143" s="52"/>
      <c r="P143" s="49"/>
      <c r="Q143" s="50"/>
      <c r="R143" s="51"/>
      <c r="S143" s="50"/>
      <c r="T143" s="52"/>
      <c r="U143" s="430"/>
      <c r="V143" s="50"/>
      <c r="W143" s="51"/>
      <c r="X143" s="50"/>
      <c r="Y143" s="51"/>
      <c r="Z143" s="49"/>
      <c r="AA143" s="50"/>
      <c r="AB143" s="51"/>
      <c r="AC143" s="50"/>
      <c r="AD143" s="51"/>
      <c r="AE143" s="49"/>
    </row>
    <row r="144" spans="2:31">
      <c r="B144" s="422"/>
      <c r="C144" s="424"/>
      <c r="D144" s="426" t="s">
        <v>205</v>
      </c>
      <c r="E144" s="424"/>
      <c r="F144" s="49"/>
      <c r="G144" s="50"/>
      <c r="H144" s="51"/>
      <c r="I144" s="50"/>
      <c r="J144" s="52"/>
      <c r="K144" s="49"/>
      <c r="L144" s="50"/>
      <c r="M144" s="51"/>
      <c r="N144" s="50"/>
      <c r="O144" s="52"/>
      <c r="P144" s="49"/>
      <c r="Q144" s="50"/>
      <c r="R144" s="51"/>
      <c r="S144" s="50"/>
      <c r="T144" s="52"/>
      <c r="U144" s="430"/>
      <c r="V144" s="50"/>
      <c r="W144" s="51"/>
      <c r="X144" s="50"/>
      <c r="Y144" s="51"/>
      <c r="Z144" s="49"/>
      <c r="AA144" s="50"/>
      <c r="AB144" s="51"/>
      <c r="AC144" s="50"/>
      <c r="AD144" s="51"/>
      <c r="AE144" s="49"/>
    </row>
    <row r="145" spans="2:31">
      <c r="B145" s="422"/>
      <c r="C145" s="424"/>
      <c r="D145" s="424"/>
      <c r="E145" s="436" t="s">
        <v>206</v>
      </c>
      <c r="F145" s="45">
        <v>589</v>
      </c>
      <c r="G145" s="46">
        <v>0</v>
      </c>
      <c r="H145" s="47">
        <v>0</v>
      </c>
      <c r="I145" s="46">
        <v>0</v>
      </c>
      <c r="J145" s="48">
        <v>0</v>
      </c>
      <c r="K145" s="45">
        <v>589</v>
      </c>
      <c r="L145" s="46">
        <v>0</v>
      </c>
      <c r="M145" s="47">
        <v>0</v>
      </c>
      <c r="N145" s="46">
        <v>0</v>
      </c>
      <c r="O145" s="48">
        <v>0</v>
      </c>
      <c r="P145" s="45">
        <v>589</v>
      </c>
      <c r="Q145" s="46">
        <v>0</v>
      </c>
      <c r="R145" s="47">
        <v>0</v>
      </c>
      <c r="S145" s="46">
        <v>0</v>
      </c>
      <c r="T145" s="48">
        <v>16</v>
      </c>
      <c r="U145" s="429">
        <v>605</v>
      </c>
      <c r="V145" s="46">
        <v>0</v>
      </c>
      <c r="W145" s="47">
        <v>0</v>
      </c>
      <c r="X145" s="46">
        <v>0</v>
      </c>
      <c r="Y145" s="47">
        <v>0</v>
      </c>
      <c r="Z145" s="45">
        <v>605</v>
      </c>
      <c r="AA145" s="46">
        <v>0</v>
      </c>
      <c r="AB145" s="47">
        <v>0</v>
      </c>
      <c r="AC145" s="46">
        <v>45</v>
      </c>
      <c r="AD145" s="47">
        <v>0</v>
      </c>
      <c r="AE145" s="45">
        <v>650</v>
      </c>
    </row>
    <row r="146" spans="2:31">
      <c r="B146" s="422"/>
      <c r="C146" s="424"/>
      <c r="D146" s="424"/>
      <c r="E146" s="436" t="s">
        <v>207</v>
      </c>
      <c r="F146" s="45">
        <v>1083</v>
      </c>
      <c r="G146" s="46">
        <v>0</v>
      </c>
      <c r="H146" s="47">
        <v>0</v>
      </c>
      <c r="I146" s="46">
        <v>0</v>
      </c>
      <c r="J146" s="48">
        <v>0</v>
      </c>
      <c r="K146" s="45">
        <v>1083</v>
      </c>
      <c r="L146" s="46">
        <v>0</v>
      </c>
      <c r="M146" s="47">
        <v>0</v>
      </c>
      <c r="N146" s="46">
        <v>0</v>
      </c>
      <c r="O146" s="48">
        <v>0</v>
      </c>
      <c r="P146" s="45">
        <v>1083</v>
      </c>
      <c r="Q146" s="46">
        <v>0</v>
      </c>
      <c r="R146" s="47">
        <v>0</v>
      </c>
      <c r="S146" s="46">
        <v>0</v>
      </c>
      <c r="T146" s="48">
        <v>0</v>
      </c>
      <c r="U146" s="429">
        <v>1083</v>
      </c>
      <c r="V146" s="46">
        <v>0</v>
      </c>
      <c r="W146" s="47">
        <v>6</v>
      </c>
      <c r="X146" s="46">
        <v>0</v>
      </c>
      <c r="Y146" s="47">
        <v>0</v>
      </c>
      <c r="Z146" s="45">
        <v>1077</v>
      </c>
      <c r="AA146" s="46">
        <v>0</v>
      </c>
      <c r="AB146" s="47">
        <v>0</v>
      </c>
      <c r="AC146" s="46">
        <v>0</v>
      </c>
      <c r="AD146" s="47">
        <v>0</v>
      </c>
      <c r="AE146" s="45">
        <v>1077</v>
      </c>
    </row>
    <row r="147" spans="2:31" ht="15.75" thickBot="1">
      <c r="B147" s="431"/>
      <c r="C147" s="432"/>
      <c r="D147" s="432"/>
      <c r="E147" s="432"/>
      <c r="F147" s="53"/>
      <c r="G147" s="54"/>
      <c r="H147" s="55"/>
      <c r="I147" s="54"/>
      <c r="J147" s="56"/>
      <c r="K147" s="57"/>
      <c r="L147" s="54"/>
      <c r="M147" s="55"/>
      <c r="N147" s="54"/>
      <c r="O147" s="56"/>
      <c r="P147" s="57"/>
      <c r="Q147" s="54"/>
      <c r="R147" s="55"/>
      <c r="S147" s="54"/>
      <c r="T147" s="56"/>
      <c r="U147" s="438"/>
      <c r="V147" s="54"/>
      <c r="W147" s="55"/>
      <c r="X147" s="54"/>
      <c r="Y147" s="55"/>
      <c r="Z147" s="57"/>
      <c r="AA147" s="54"/>
      <c r="AB147" s="55"/>
      <c r="AC147" s="54"/>
      <c r="AD147" s="55"/>
      <c r="AE147" s="57"/>
    </row>
  </sheetData>
  <mergeCells count="17">
    <mergeCell ref="AC8:AD8"/>
    <mergeCell ref="AA7:AE7"/>
    <mergeCell ref="G8:H8"/>
    <mergeCell ref="I8:J8"/>
    <mergeCell ref="L8:M8"/>
    <mergeCell ref="N8:O8"/>
    <mergeCell ref="Q8:R8"/>
    <mergeCell ref="S8:T8"/>
    <mergeCell ref="V8:W8"/>
    <mergeCell ref="X8:Y8"/>
    <mergeCell ref="AA8:AB8"/>
    <mergeCell ref="V7:Z7"/>
    <mergeCell ref="B7:E9"/>
    <mergeCell ref="F7:F9"/>
    <mergeCell ref="G7:K7"/>
    <mergeCell ref="L7:P7"/>
    <mergeCell ref="Q7:U7"/>
  </mergeCells>
  <phoneticPr fontId="2" type="noConversion"/>
  <pageMargins left="0.75" right="0.75" top="1" bottom="1" header="0.5" footer="0.5"/>
  <pageSetup paperSize="9" scale="25"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5FFFF"/>
    <pageSetUpPr fitToPage="1"/>
  </sheetPr>
  <dimension ref="A1:T144"/>
  <sheetViews>
    <sheetView zoomScale="90" zoomScaleNormal="90" workbookViewId="0">
      <selection activeCell="T40" sqref="T40"/>
    </sheetView>
  </sheetViews>
  <sheetFormatPr defaultColWidth="8.85546875" defaultRowHeight="12.75"/>
  <cols>
    <col min="1" max="1" width="3" customWidth="1"/>
    <col min="2" max="2" width="70.5703125" customWidth="1"/>
    <col min="3" max="3" width="10.42578125" customWidth="1"/>
    <col min="4" max="13" width="11.28515625" bestFit="1" customWidth="1"/>
    <col min="14" max="14" width="3.5703125" customWidth="1"/>
    <col min="15" max="17" width="11.7109375" customWidth="1"/>
    <col min="18" max="18" width="3.5703125" customWidth="1"/>
    <col min="19" max="20" width="9" bestFit="1" customWidth="1"/>
  </cols>
  <sheetData>
    <row r="1" spans="1:20">
      <c r="A1" s="408" t="s">
        <v>94</v>
      </c>
      <c r="F1" s="407"/>
    </row>
    <row r="3" spans="1:20">
      <c r="A3" s="408" t="s">
        <v>208</v>
      </c>
    </row>
    <row r="6" spans="1:20" s="442" customFormat="1" ht="15.75" customHeight="1">
      <c r="A6" s="439"/>
      <c r="B6" s="440" t="s">
        <v>209</v>
      </c>
      <c r="C6" s="441"/>
      <c r="D6" s="102"/>
      <c r="E6" s="102"/>
      <c r="F6" s="102"/>
      <c r="G6" s="102"/>
      <c r="H6" s="102"/>
      <c r="I6" s="102"/>
      <c r="J6" s="102"/>
      <c r="K6" s="102"/>
      <c r="L6" s="102"/>
      <c r="M6" s="102"/>
      <c r="N6" s="102"/>
      <c r="O6" s="66"/>
      <c r="P6" s="66"/>
      <c r="Q6" s="66"/>
      <c r="R6" s="70"/>
      <c r="S6" s="102"/>
      <c r="T6" s="102"/>
    </row>
    <row r="7" spans="1:20" ht="13.5" thickBot="1">
      <c r="A7" s="443"/>
      <c r="B7" s="443"/>
      <c r="C7" s="444"/>
      <c r="D7" s="443"/>
      <c r="E7" s="443"/>
      <c r="F7" s="443"/>
      <c r="G7" s="443"/>
      <c r="H7" s="443"/>
      <c r="I7" s="443"/>
      <c r="J7" s="443"/>
      <c r="K7" s="443"/>
      <c r="L7" s="443"/>
      <c r="M7" s="443"/>
      <c r="N7" s="443"/>
      <c r="O7" s="443"/>
      <c r="P7" s="443"/>
      <c r="Q7" s="443"/>
      <c r="R7" s="445"/>
      <c r="S7" s="443"/>
      <c r="T7" s="443"/>
    </row>
    <row r="8" spans="1:20" ht="15.75" customHeight="1">
      <c r="A8" s="443"/>
      <c r="B8" s="1882" t="s">
        <v>209</v>
      </c>
      <c r="C8" s="1884" t="s">
        <v>210</v>
      </c>
      <c r="D8" s="446" t="s">
        <v>211</v>
      </c>
      <c r="E8" s="447"/>
      <c r="F8" s="447"/>
      <c r="G8" s="447"/>
      <c r="H8" s="448"/>
      <c r="I8" s="447" t="s">
        <v>212</v>
      </c>
      <c r="J8" s="449"/>
      <c r="K8" s="449"/>
      <c r="L8" s="449"/>
      <c r="M8" s="448"/>
      <c r="N8" s="443"/>
      <c r="O8" s="243" t="s">
        <v>211</v>
      </c>
      <c r="P8" s="244"/>
      <c r="Q8" s="245"/>
      <c r="R8" s="445"/>
      <c r="S8" s="243" t="s">
        <v>212</v>
      </c>
      <c r="T8" s="245"/>
    </row>
    <row r="9" spans="1:20" ht="25.5">
      <c r="A9" s="443"/>
      <c r="B9" s="1883"/>
      <c r="C9" s="1885"/>
      <c r="D9" s="450" t="s">
        <v>99</v>
      </c>
      <c r="E9" s="451" t="s">
        <v>100</v>
      </c>
      <c r="F9" s="451" t="s">
        <v>101</v>
      </c>
      <c r="G9" s="451" t="s">
        <v>102</v>
      </c>
      <c r="H9" s="452" t="s">
        <v>64</v>
      </c>
      <c r="I9" s="453" t="s">
        <v>213</v>
      </c>
      <c r="J9" s="451" t="s">
        <v>214</v>
      </c>
      <c r="K9" s="451" t="s">
        <v>215</v>
      </c>
      <c r="L9" s="451" t="s">
        <v>216</v>
      </c>
      <c r="M9" s="452" t="s">
        <v>217</v>
      </c>
      <c r="N9" s="443"/>
      <c r="O9" s="250" t="s">
        <v>218</v>
      </c>
      <c r="P9" s="251" t="s">
        <v>219</v>
      </c>
      <c r="Q9" s="252" t="s">
        <v>220</v>
      </c>
      <c r="R9" s="445"/>
      <c r="S9" s="250" t="s">
        <v>219</v>
      </c>
      <c r="T9" s="252" t="s">
        <v>221</v>
      </c>
    </row>
    <row r="10" spans="1:20" s="442" customFormat="1" ht="15.75" customHeight="1">
      <c r="A10" s="439"/>
      <c r="B10" s="454" t="s">
        <v>222</v>
      </c>
      <c r="C10" s="455" t="s">
        <v>223</v>
      </c>
      <c r="D10" s="62">
        <v>38.426038944430175</v>
      </c>
      <c r="E10" s="63">
        <v>55.69259182868781</v>
      </c>
      <c r="F10" s="63">
        <v>49.759269125714141</v>
      </c>
      <c r="G10" s="63">
        <v>33.220266811242979</v>
      </c>
      <c r="H10" s="64">
        <v>23.042104788233342</v>
      </c>
      <c r="I10" s="63">
        <v>22.228642679511978</v>
      </c>
      <c r="J10" s="65">
        <v>24.461244934269942</v>
      </c>
      <c r="K10" s="65">
        <v>27.058255321612496</v>
      </c>
      <c r="L10" s="65">
        <v>28.504107053351579</v>
      </c>
      <c r="M10" s="64">
        <v>37.593790806977935</v>
      </c>
      <c r="N10" s="66"/>
      <c r="O10" s="67">
        <v>143.87789989883214</v>
      </c>
      <c r="P10" s="68">
        <v>56.262371599476324</v>
      </c>
      <c r="Q10" s="69">
        <v>200.14027149830846</v>
      </c>
      <c r="R10" s="70"/>
      <c r="S10" s="67">
        <v>139.84604079572392</v>
      </c>
      <c r="T10" s="69">
        <v>-0.30125986265135118</v>
      </c>
    </row>
    <row r="11" spans="1:20" s="442" customFormat="1" ht="15.75" customHeight="1">
      <c r="A11" s="439"/>
      <c r="B11" s="454" t="s">
        <v>224</v>
      </c>
      <c r="C11" s="455" t="s">
        <v>223</v>
      </c>
      <c r="D11" s="71">
        <v>29.955820643934121</v>
      </c>
      <c r="E11" s="72">
        <v>47.788722773984993</v>
      </c>
      <c r="F11" s="72">
        <v>49.423677405427178</v>
      </c>
      <c r="G11" s="72">
        <v>23.015715224654759</v>
      </c>
      <c r="H11" s="73">
        <v>15.862633345729508</v>
      </c>
      <c r="I11" s="72">
        <v>17.418779216396857</v>
      </c>
      <c r="J11" s="74">
        <v>16.91268603998893</v>
      </c>
      <c r="K11" s="74">
        <v>19.171952583679715</v>
      </c>
      <c r="L11" s="74">
        <v>22.366801788493959</v>
      </c>
      <c r="M11" s="73">
        <v>26.742808210434699</v>
      </c>
      <c r="N11" s="66"/>
      <c r="O11" s="67">
        <v>127.1682208233463</v>
      </c>
      <c r="P11" s="68">
        <v>38.878348570384269</v>
      </c>
      <c r="Q11" s="69">
        <v>166.04656939373058</v>
      </c>
      <c r="R11" s="70"/>
      <c r="S11" s="67">
        <v>102.61302783899416</v>
      </c>
      <c r="T11" s="69">
        <v>-0.38202259634959662</v>
      </c>
    </row>
    <row r="12" spans="1:20" s="442" customFormat="1" ht="15.75" customHeight="1">
      <c r="A12" s="439"/>
      <c r="B12" s="454" t="s">
        <v>225</v>
      </c>
      <c r="C12" s="455" t="s">
        <v>223</v>
      </c>
      <c r="D12" s="75">
        <v>8.4702183004960538</v>
      </c>
      <c r="E12" s="76">
        <v>7.9038690547028168</v>
      </c>
      <c r="F12" s="76">
        <v>0.33559172028696338</v>
      </c>
      <c r="G12" s="76">
        <v>10.20455158658822</v>
      </c>
      <c r="H12" s="77">
        <v>7.179471442503834</v>
      </c>
      <c r="I12" s="78">
        <v>4.8098634631151214</v>
      </c>
      <c r="J12" s="76">
        <v>7.5485588942810118</v>
      </c>
      <c r="K12" s="76">
        <v>7.8863027379327804</v>
      </c>
      <c r="L12" s="76">
        <v>6.1373052648576198</v>
      </c>
      <c r="M12" s="77">
        <v>10.850982596543236</v>
      </c>
      <c r="N12" s="66"/>
      <c r="O12" s="67">
        <v>16.709679075485834</v>
      </c>
      <c r="P12" s="68">
        <v>17.384023029092056</v>
      </c>
      <c r="Q12" s="69">
        <v>34.093702104577886</v>
      </c>
      <c r="R12" s="70"/>
      <c r="S12" s="67">
        <v>37.233012956729766</v>
      </c>
      <c r="T12" s="69">
        <v>9.2078907785445599E-2</v>
      </c>
    </row>
    <row r="13" spans="1:20" s="442" customFormat="1" ht="15.75" customHeight="1">
      <c r="A13" s="439"/>
      <c r="B13" s="454" t="s">
        <v>226</v>
      </c>
      <c r="C13" s="455" t="s">
        <v>223</v>
      </c>
      <c r="D13" s="71">
        <v>7.4987479833711568</v>
      </c>
      <c r="E13" s="72">
        <v>11.452793348750376</v>
      </c>
      <c r="F13" s="72">
        <v>11.650031274572823</v>
      </c>
      <c r="G13" s="72">
        <v>8.4227160046749869</v>
      </c>
      <c r="H13" s="73">
        <v>8.8424535486577103</v>
      </c>
      <c r="I13" s="72">
        <v>8.6106175325311103</v>
      </c>
      <c r="J13" s="74">
        <v>8.6205507062049378</v>
      </c>
      <c r="K13" s="74">
        <v>8.708820344423378</v>
      </c>
      <c r="L13" s="74">
        <v>8.7358374154946432</v>
      </c>
      <c r="M13" s="73">
        <v>8.6966220009896702</v>
      </c>
      <c r="N13" s="66"/>
      <c r="O13" s="67">
        <v>30.601572606694354</v>
      </c>
      <c r="P13" s="68">
        <v>17.265169553332697</v>
      </c>
      <c r="Q13" s="69">
        <v>47.866742160027052</v>
      </c>
      <c r="R13" s="70"/>
      <c r="S13" s="67">
        <v>43.37244799964374</v>
      </c>
      <c r="T13" s="69">
        <v>-9.3891791201458533E-2</v>
      </c>
    </row>
    <row r="14" spans="1:20" s="442" customFormat="1" ht="15.75" customHeight="1" thickBot="1">
      <c r="A14" s="439"/>
      <c r="B14" s="456" t="s">
        <v>227</v>
      </c>
      <c r="C14" s="457" t="s">
        <v>223</v>
      </c>
      <c r="D14" s="79">
        <v>0.97147031712489706</v>
      </c>
      <c r="E14" s="80">
        <v>-3.5489242940475592</v>
      </c>
      <c r="F14" s="80">
        <v>-11.31443955428586</v>
      </c>
      <c r="G14" s="80">
        <v>1.7818355819132332</v>
      </c>
      <c r="H14" s="81">
        <v>-1.6629821061538763</v>
      </c>
      <c r="I14" s="82">
        <v>-3.8007540694159889</v>
      </c>
      <c r="J14" s="80">
        <v>-1.071991811923926</v>
      </c>
      <c r="K14" s="80">
        <v>-0.82251760649059769</v>
      </c>
      <c r="L14" s="80">
        <v>-2.5985321506370234</v>
      </c>
      <c r="M14" s="81">
        <v>2.1543605955535661</v>
      </c>
      <c r="N14" s="66"/>
      <c r="O14" s="83">
        <v>-13.891893531208522</v>
      </c>
      <c r="P14" s="84">
        <v>0.1188534757593569</v>
      </c>
      <c r="Q14" s="85">
        <v>-13.773040055449165</v>
      </c>
      <c r="R14" s="70"/>
      <c r="S14" s="83">
        <v>-6.1394350429139699</v>
      </c>
      <c r="T14" s="85">
        <v>-0.55424256241199532</v>
      </c>
    </row>
    <row r="15" spans="1:20">
      <c r="A15" s="443"/>
      <c r="B15" s="443"/>
      <c r="C15" s="444"/>
      <c r="D15" s="148"/>
      <c r="E15" s="148"/>
      <c r="F15" s="148"/>
      <c r="G15" s="148"/>
      <c r="H15" s="148"/>
      <c r="I15" s="148"/>
      <c r="J15" s="148"/>
      <c r="K15" s="148"/>
      <c r="L15" s="148"/>
      <c r="M15" s="148"/>
      <c r="N15" s="148"/>
      <c r="O15" s="148"/>
      <c r="P15" s="148"/>
      <c r="Q15" s="148"/>
      <c r="R15" s="87"/>
      <c r="S15" s="148"/>
      <c r="T15" s="148"/>
    </row>
    <row r="16" spans="1:20" s="442" customFormat="1" ht="15.75" customHeight="1">
      <c r="A16" s="439"/>
      <c r="B16" s="440" t="s">
        <v>228</v>
      </c>
      <c r="C16" s="441"/>
      <c r="D16" s="102"/>
      <c r="E16" s="102"/>
      <c r="F16" s="102"/>
      <c r="G16" s="102"/>
      <c r="H16" s="102"/>
      <c r="I16" s="102"/>
      <c r="J16" s="102"/>
      <c r="K16" s="102"/>
      <c r="L16" s="102"/>
      <c r="M16" s="102"/>
      <c r="N16" s="102"/>
      <c r="O16" s="66"/>
      <c r="P16" s="66"/>
      <c r="Q16" s="66"/>
      <c r="R16" s="70"/>
      <c r="S16" s="102"/>
      <c r="T16" s="102"/>
    </row>
    <row r="17" spans="1:20" ht="13.5" thickBot="1">
      <c r="A17" s="443"/>
      <c r="B17" s="458"/>
      <c r="C17" s="444"/>
      <c r="D17" s="102"/>
      <c r="E17" s="102"/>
      <c r="F17" s="102"/>
      <c r="G17" s="102"/>
      <c r="H17" s="102"/>
      <c r="I17" s="102"/>
      <c r="J17" s="102"/>
      <c r="K17" s="102"/>
      <c r="L17" s="102"/>
      <c r="M17" s="102"/>
      <c r="N17" s="87"/>
      <c r="O17" s="87"/>
      <c r="P17" s="87"/>
      <c r="Q17" s="87"/>
      <c r="R17" s="87"/>
      <c r="S17" s="87"/>
      <c r="T17" s="87"/>
    </row>
    <row r="18" spans="1:20" ht="15.75" customHeight="1">
      <c r="A18" s="443"/>
      <c r="B18" s="1882" t="s">
        <v>228</v>
      </c>
      <c r="C18" s="1884" t="s">
        <v>210</v>
      </c>
      <c r="D18" s="103" t="s">
        <v>211</v>
      </c>
      <c r="E18" s="104"/>
      <c r="F18" s="104"/>
      <c r="G18" s="104"/>
      <c r="H18" s="105"/>
      <c r="I18" s="104" t="s">
        <v>212</v>
      </c>
      <c r="J18" s="106"/>
      <c r="K18" s="106"/>
      <c r="L18" s="106"/>
      <c r="M18" s="105"/>
      <c r="N18" s="87"/>
      <c r="O18" s="87"/>
      <c r="P18" s="87"/>
      <c r="Q18" s="87"/>
      <c r="R18" s="87"/>
      <c r="S18" s="87"/>
      <c r="T18" s="87"/>
    </row>
    <row r="19" spans="1:20" ht="26.25" customHeight="1">
      <c r="A19" s="443"/>
      <c r="B19" s="1883"/>
      <c r="C19" s="1885"/>
      <c r="D19" s="107" t="s">
        <v>99</v>
      </c>
      <c r="E19" s="108" t="s">
        <v>100</v>
      </c>
      <c r="F19" s="108" t="s">
        <v>101</v>
      </c>
      <c r="G19" s="108" t="s">
        <v>102</v>
      </c>
      <c r="H19" s="109" t="s">
        <v>64</v>
      </c>
      <c r="I19" s="110" t="s">
        <v>213</v>
      </c>
      <c r="J19" s="108" t="s">
        <v>214</v>
      </c>
      <c r="K19" s="108" t="s">
        <v>215</v>
      </c>
      <c r="L19" s="108" t="s">
        <v>216</v>
      </c>
      <c r="M19" s="109" t="s">
        <v>217</v>
      </c>
      <c r="N19" s="87"/>
      <c r="O19" s="87"/>
      <c r="P19" s="87"/>
      <c r="Q19" s="87"/>
      <c r="R19" s="87"/>
      <c r="S19" s="87"/>
      <c r="T19" s="87"/>
    </row>
    <row r="20" spans="1:20">
      <c r="A20" s="443"/>
      <c r="B20" s="459"/>
      <c r="C20" s="460"/>
      <c r="D20" s="130"/>
      <c r="E20" s="131"/>
      <c r="F20" s="131"/>
      <c r="G20" s="131"/>
      <c r="H20" s="132"/>
      <c r="I20" s="131"/>
      <c r="J20" s="131"/>
      <c r="K20" s="131"/>
      <c r="L20" s="131"/>
      <c r="M20" s="132"/>
      <c r="N20" s="87"/>
      <c r="O20" s="87"/>
      <c r="P20" s="87"/>
      <c r="Q20" s="87"/>
      <c r="R20" s="87"/>
      <c r="S20" s="87"/>
      <c r="T20" s="87"/>
    </row>
    <row r="21" spans="1:20" ht="15.75" customHeight="1">
      <c r="A21" s="443"/>
      <c r="B21" s="461" t="s">
        <v>229</v>
      </c>
      <c r="C21" s="462" t="s">
        <v>230</v>
      </c>
      <c r="D21" s="86">
        <v>4744.8999999999996</v>
      </c>
      <c r="E21" s="72">
        <v>4555.9119999999994</v>
      </c>
      <c r="F21" s="72">
        <v>4689.463999999999</v>
      </c>
      <c r="G21" s="72">
        <v>4695.1739999999991</v>
      </c>
      <c r="H21" s="73">
        <v>4726.9849636547406</v>
      </c>
      <c r="I21" s="72">
        <v>4769.994004969346</v>
      </c>
      <c r="J21" s="74">
        <v>4813.4034848089632</v>
      </c>
      <c r="K21" s="74">
        <v>4857.3389143601644</v>
      </c>
      <c r="L21" s="74">
        <v>4901.473423687311</v>
      </c>
      <c r="M21" s="73">
        <v>4946.1089318640297</v>
      </c>
      <c r="N21" s="87"/>
      <c r="O21" s="87"/>
      <c r="P21" s="87"/>
      <c r="Q21" s="87"/>
      <c r="R21" s="87"/>
      <c r="S21" s="87"/>
      <c r="T21" s="87"/>
    </row>
    <row r="22" spans="1:20" ht="15.75" customHeight="1">
      <c r="A22" s="443"/>
      <c r="B22" s="461" t="s">
        <v>231</v>
      </c>
      <c r="C22" s="462" t="s">
        <v>230</v>
      </c>
      <c r="D22" s="71">
        <v>0</v>
      </c>
      <c r="E22" s="72">
        <v>-188.988</v>
      </c>
      <c r="F22" s="72">
        <v>133.55199999999999</v>
      </c>
      <c r="G22" s="72">
        <v>5.7099999999999973</v>
      </c>
      <c r="H22" s="73">
        <v>31.810963654741904</v>
      </c>
      <c r="I22" s="72">
        <v>43.009041314605369</v>
      </c>
      <c r="J22" s="74">
        <v>43.409479839617021</v>
      </c>
      <c r="K22" s="74">
        <v>43.935429551200926</v>
      </c>
      <c r="L22" s="74">
        <v>44.134509327146489</v>
      </c>
      <c r="M22" s="73">
        <v>44.635508176718744</v>
      </c>
      <c r="N22" s="87"/>
      <c r="O22" s="87"/>
      <c r="P22" s="87"/>
      <c r="Q22" s="87"/>
      <c r="R22" s="87"/>
      <c r="S22" s="87"/>
      <c r="T22" s="87"/>
    </row>
    <row r="23" spans="1:20" ht="15.75" customHeight="1">
      <c r="A23" s="443"/>
      <c r="B23" s="463" t="s">
        <v>232</v>
      </c>
      <c r="C23" s="462" t="s">
        <v>230</v>
      </c>
      <c r="D23" s="88">
        <v>0</v>
      </c>
      <c r="E23" s="89">
        <v>46.698</v>
      </c>
      <c r="F23" s="89">
        <v>43.978000000000002</v>
      </c>
      <c r="G23" s="89">
        <v>32.951999999999998</v>
      </c>
      <c r="H23" s="90">
        <v>28.952963654741904</v>
      </c>
      <c r="I23" s="89">
        <v>28.151041314605369</v>
      </c>
      <c r="J23" s="91">
        <v>27.751479839617019</v>
      </c>
      <c r="K23" s="91">
        <v>31.377429551200922</v>
      </c>
      <c r="L23" s="91">
        <v>36.776509327146485</v>
      </c>
      <c r="M23" s="90">
        <v>43.977508176718743</v>
      </c>
      <c r="N23" s="87"/>
      <c r="O23" s="87"/>
      <c r="P23" s="87"/>
      <c r="Q23" s="87"/>
      <c r="R23" s="87"/>
      <c r="S23" s="87"/>
      <c r="T23" s="87"/>
    </row>
    <row r="24" spans="1:20" ht="15.75" customHeight="1">
      <c r="A24" s="443"/>
      <c r="B24" s="463" t="s">
        <v>233</v>
      </c>
      <c r="C24" s="462" t="s">
        <v>230</v>
      </c>
      <c r="D24" s="88">
        <v>0</v>
      </c>
      <c r="E24" s="89">
        <v>-16.486000000000001</v>
      </c>
      <c r="F24" s="89">
        <v>-16.725999999999999</v>
      </c>
      <c r="G24" s="89">
        <v>-15.242000000000001</v>
      </c>
      <c r="H24" s="90">
        <v>-15.242000000000001</v>
      </c>
      <c r="I24" s="89">
        <v>-15.242000000000001</v>
      </c>
      <c r="J24" s="91">
        <v>-15.242000000000001</v>
      </c>
      <c r="K24" s="91">
        <v>-15.242000000000001</v>
      </c>
      <c r="L24" s="91">
        <v>-15.242000000000001</v>
      </c>
      <c r="M24" s="90">
        <v>-15.242000000000001</v>
      </c>
      <c r="N24" s="87"/>
      <c r="O24" s="87"/>
      <c r="P24" s="87"/>
      <c r="Q24" s="87"/>
      <c r="R24" s="87"/>
      <c r="S24" s="87"/>
      <c r="T24" s="87"/>
    </row>
    <row r="25" spans="1:20" ht="15.75" customHeight="1">
      <c r="A25" s="443"/>
      <c r="B25" s="463" t="s">
        <v>234</v>
      </c>
      <c r="C25" s="462" t="s">
        <v>230</v>
      </c>
      <c r="D25" s="88">
        <v>0</v>
      </c>
      <c r="E25" s="89">
        <v>-219.2</v>
      </c>
      <c r="F25" s="89">
        <v>106.3</v>
      </c>
      <c r="G25" s="89">
        <v>-12</v>
      </c>
      <c r="H25" s="90">
        <v>18.100000000000001</v>
      </c>
      <c r="I25" s="89">
        <v>30.1</v>
      </c>
      <c r="J25" s="91">
        <v>30.9</v>
      </c>
      <c r="K25" s="91">
        <v>27.8</v>
      </c>
      <c r="L25" s="91">
        <v>22.6</v>
      </c>
      <c r="M25" s="90">
        <v>15.9</v>
      </c>
      <c r="N25" s="87"/>
      <c r="O25" s="87"/>
      <c r="P25" s="87"/>
      <c r="Q25" s="87"/>
      <c r="R25" s="87"/>
      <c r="S25" s="87"/>
      <c r="T25" s="87"/>
    </row>
    <row r="26" spans="1:20" ht="15.75" customHeight="1">
      <c r="A26" s="443"/>
      <c r="B26" s="464"/>
      <c r="C26" s="465"/>
      <c r="D26" s="92"/>
      <c r="E26" s="93"/>
      <c r="F26" s="93"/>
      <c r="G26" s="93"/>
      <c r="H26" s="94"/>
      <c r="I26" s="93"/>
      <c r="J26" s="93"/>
      <c r="K26" s="93"/>
      <c r="L26" s="93"/>
      <c r="M26" s="94"/>
      <c r="N26" s="87"/>
      <c r="O26" s="87"/>
      <c r="P26" s="87"/>
      <c r="Q26" s="87"/>
      <c r="R26" s="87"/>
      <c r="S26" s="87"/>
      <c r="T26" s="87"/>
    </row>
    <row r="27" spans="1:20" ht="15.75" customHeight="1">
      <c r="A27" s="443"/>
      <c r="B27" s="461" t="s">
        <v>235</v>
      </c>
      <c r="C27" s="462" t="s">
        <v>236</v>
      </c>
      <c r="D27" s="86">
        <v>26627</v>
      </c>
      <c r="E27" s="72">
        <v>25800</v>
      </c>
      <c r="F27" s="72">
        <v>25602</v>
      </c>
      <c r="G27" s="72">
        <v>25400</v>
      </c>
      <c r="H27" s="73">
        <v>24649</v>
      </c>
      <c r="I27" s="72">
        <v>24320</v>
      </c>
      <c r="J27" s="74">
        <v>24206</v>
      </c>
      <c r="K27" s="74">
        <v>24321</v>
      </c>
      <c r="L27" s="74">
        <v>24463</v>
      </c>
      <c r="M27" s="73">
        <v>24655</v>
      </c>
      <c r="N27" s="87"/>
      <c r="O27" s="87"/>
      <c r="P27" s="87"/>
      <c r="Q27" s="87"/>
      <c r="R27" s="87"/>
      <c r="S27" s="87"/>
      <c r="T27" s="87"/>
    </row>
    <row r="28" spans="1:20" ht="15.75" customHeight="1">
      <c r="A28" s="443"/>
      <c r="B28" s="466" t="s">
        <v>237</v>
      </c>
      <c r="C28" s="462" t="s">
        <v>236</v>
      </c>
      <c r="D28" s="71">
        <v>357</v>
      </c>
      <c r="E28" s="72">
        <v>-827</v>
      </c>
      <c r="F28" s="72">
        <v>-198</v>
      </c>
      <c r="G28" s="72">
        <v>-202</v>
      </c>
      <c r="H28" s="73">
        <v>-751</v>
      </c>
      <c r="I28" s="72">
        <v>-329</v>
      </c>
      <c r="J28" s="74">
        <v>-114</v>
      </c>
      <c r="K28" s="74">
        <v>115</v>
      </c>
      <c r="L28" s="74">
        <v>142</v>
      </c>
      <c r="M28" s="73">
        <v>192</v>
      </c>
      <c r="N28" s="87"/>
      <c r="O28" s="87"/>
      <c r="P28" s="87"/>
      <c r="Q28" s="87"/>
      <c r="R28" s="87"/>
      <c r="S28" s="87"/>
      <c r="T28" s="87"/>
    </row>
    <row r="29" spans="1:20" ht="15.75" customHeight="1">
      <c r="A29" s="443"/>
      <c r="B29" s="467" t="s">
        <v>238</v>
      </c>
      <c r="C29" s="462" t="s">
        <v>236</v>
      </c>
      <c r="D29" s="88">
        <v>357</v>
      </c>
      <c r="E29" s="89">
        <v>-827</v>
      </c>
      <c r="F29" s="89">
        <v>-198</v>
      </c>
      <c r="G29" s="89">
        <v>-202</v>
      </c>
      <c r="H29" s="90">
        <v>42</v>
      </c>
      <c r="I29" s="89">
        <v>62</v>
      </c>
      <c r="J29" s="91">
        <v>82</v>
      </c>
      <c r="K29" s="91">
        <v>88</v>
      </c>
      <c r="L29" s="91">
        <v>91</v>
      </c>
      <c r="M29" s="90">
        <v>92</v>
      </c>
      <c r="N29" s="87"/>
      <c r="O29" s="87"/>
      <c r="P29" s="87"/>
      <c r="Q29" s="87"/>
      <c r="R29" s="87"/>
      <c r="S29" s="87"/>
      <c r="T29" s="87"/>
    </row>
    <row r="30" spans="1:20" ht="15.75" customHeight="1">
      <c r="A30" s="443"/>
      <c r="B30" s="467" t="s">
        <v>239</v>
      </c>
      <c r="C30" s="462" t="s">
        <v>236</v>
      </c>
      <c r="D30" s="88">
        <v>0</v>
      </c>
      <c r="E30" s="89">
        <v>0</v>
      </c>
      <c r="F30" s="89">
        <v>0</v>
      </c>
      <c r="G30" s="89">
        <v>0</v>
      </c>
      <c r="H30" s="90">
        <v>-431</v>
      </c>
      <c r="I30" s="89">
        <v>-461</v>
      </c>
      <c r="J30" s="91">
        <v>-418</v>
      </c>
      <c r="K30" s="91">
        <v>-434</v>
      </c>
      <c r="L30" s="91">
        <v>-447</v>
      </c>
      <c r="M30" s="90">
        <v>-455</v>
      </c>
      <c r="N30" s="87"/>
      <c r="O30" s="87"/>
      <c r="P30" s="87"/>
      <c r="Q30" s="87"/>
      <c r="R30" s="87"/>
      <c r="S30" s="87"/>
      <c r="T30" s="87"/>
    </row>
    <row r="31" spans="1:20" ht="15.75" customHeight="1">
      <c r="A31" s="443"/>
      <c r="B31" s="467" t="s">
        <v>240</v>
      </c>
      <c r="C31" s="462" t="s">
        <v>236</v>
      </c>
      <c r="D31" s="88">
        <v>0</v>
      </c>
      <c r="E31" s="89">
        <v>0</v>
      </c>
      <c r="F31" s="89">
        <v>0</v>
      </c>
      <c r="G31" s="89">
        <v>0</v>
      </c>
      <c r="H31" s="90">
        <v>0</v>
      </c>
      <c r="I31" s="89">
        <v>0</v>
      </c>
      <c r="J31" s="91">
        <v>0</v>
      </c>
      <c r="K31" s="91">
        <v>0</v>
      </c>
      <c r="L31" s="91">
        <v>0</v>
      </c>
      <c r="M31" s="90">
        <v>0</v>
      </c>
      <c r="N31" s="87"/>
      <c r="O31" s="87"/>
      <c r="P31" s="87"/>
      <c r="Q31" s="87"/>
      <c r="R31" s="87"/>
      <c r="S31" s="87"/>
      <c r="T31" s="87"/>
    </row>
    <row r="32" spans="1:20" ht="15.75" customHeight="1">
      <c r="A32" s="443"/>
      <c r="B32" s="467" t="s">
        <v>241</v>
      </c>
      <c r="C32" s="462" t="s">
        <v>236</v>
      </c>
      <c r="D32" s="88">
        <v>0</v>
      </c>
      <c r="E32" s="89">
        <v>0</v>
      </c>
      <c r="F32" s="89">
        <v>0</v>
      </c>
      <c r="G32" s="89">
        <v>0</v>
      </c>
      <c r="H32" s="90">
        <v>0</v>
      </c>
      <c r="I32" s="89">
        <v>0</v>
      </c>
      <c r="J32" s="91">
        <v>0</v>
      </c>
      <c r="K32" s="91">
        <v>0</v>
      </c>
      <c r="L32" s="91">
        <v>0</v>
      </c>
      <c r="M32" s="90">
        <v>0</v>
      </c>
      <c r="N32" s="87"/>
      <c r="O32" s="87"/>
      <c r="P32" s="87"/>
      <c r="Q32" s="87"/>
      <c r="R32" s="87"/>
      <c r="S32" s="87"/>
      <c r="T32" s="87"/>
    </row>
    <row r="33" spans="1:20" ht="15.75" customHeight="1">
      <c r="A33" s="443"/>
      <c r="B33" s="467" t="s">
        <v>242</v>
      </c>
      <c r="C33" s="462" t="s">
        <v>236</v>
      </c>
      <c r="D33" s="88">
        <v>0</v>
      </c>
      <c r="E33" s="89">
        <v>0</v>
      </c>
      <c r="F33" s="89">
        <v>0</v>
      </c>
      <c r="G33" s="89">
        <v>0</v>
      </c>
      <c r="H33" s="90">
        <v>37</v>
      </c>
      <c r="I33" s="89">
        <v>-188</v>
      </c>
      <c r="J33" s="91">
        <v>-216</v>
      </c>
      <c r="K33" s="91">
        <v>-98</v>
      </c>
      <c r="L33" s="91">
        <v>-62</v>
      </c>
      <c r="M33" s="90">
        <v>11</v>
      </c>
      <c r="N33" s="87"/>
      <c r="O33" s="87"/>
      <c r="P33" s="87"/>
      <c r="Q33" s="87"/>
      <c r="R33" s="87"/>
      <c r="S33" s="87"/>
      <c r="T33" s="87"/>
    </row>
    <row r="34" spans="1:20" ht="15.75" customHeight="1">
      <c r="A34" s="443"/>
      <c r="B34" s="467" t="s">
        <v>243</v>
      </c>
      <c r="C34" s="462" t="s">
        <v>236</v>
      </c>
      <c r="D34" s="88">
        <v>0</v>
      </c>
      <c r="E34" s="89">
        <v>0</v>
      </c>
      <c r="F34" s="89">
        <v>0</v>
      </c>
      <c r="G34" s="89">
        <v>0</v>
      </c>
      <c r="H34" s="90">
        <v>-399</v>
      </c>
      <c r="I34" s="89">
        <v>258</v>
      </c>
      <c r="J34" s="91">
        <v>438</v>
      </c>
      <c r="K34" s="91">
        <v>559</v>
      </c>
      <c r="L34" s="91">
        <v>560</v>
      </c>
      <c r="M34" s="90">
        <v>544</v>
      </c>
      <c r="N34" s="87"/>
      <c r="O34" s="87"/>
      <c r="P34" s="87"/>
      <c r="Q34" s="87"/>
      <c r="R34" s="87"/>
      <c r="S34" s="87"/>
      <c r="T34" s="87"/>
    </row>
    <row r="35" spans="1:20" ht="15.75" customHeight="1">
      <c r="A35" s="443"/>
      <c r="B35" s="464"/>
      <c r="C35" s="465"/>
      <c r="D35" s="95"/>
      <c r="E35" s="96"/>
      <c r="F35" s="96"/>
      <c r="G35" s="96"/>
      <c r="H35" s="97"/>
      <c r="I35" s="96"/>
      <c r="J35" s="96"/>
      <c r="K35" s="96"/>
      <c r="L35" s="96"/>
      <c r="M35" s="97"/>
      <c r="N35" s="87"/>
      <c r="O35" s="87"/>
      <c r="P35" s="87"/>
      <c r="Q35" s="87"/>
      <c r="R35" s="87"/>
      <c r="S35" s="87"/>
      <c r="T35" s="87"/>
    </row>
    <row r="36" spans="1:20" ht="15.75" customHeight="1">
      <c r="A36" s="443"/>
      <c r="B36" s="461" t="s">
        <v>235</v>
      </c>
      <c r="C36" s="462"/>
      <c r="D36" s="98"/>
      <c r="E36" s="99"/>
      <c r="F36" s="99"/>
      <c r="G36" s="99"/>
      <c r="H36" s="100"/>
      <c r="I36" s="99"/>
      <c r="J36" s="99"/>
      <c r="K36" s="99"/>
      <c r="L36" s="99"/>
      <c r="M36" s="100"/>
      <c r="N36" s="87"/>
      <c r="O36" s="87"/>
      <c r="P36" s="87"/>
      <c r="Q36" s="87"/>
      <c r="R36" s="87"/>
      <c r="S36" s="87"/>
      <c r="T36" s="87"/>
    </row>
    <row r="37" spans="1:20" ht="15.75" customHeight="1">
      <c r="A37" s="443"/>
      <c r="B37" s="463" t="s">
        <v>244</v>
      </c>
      <c r="C37" s="462" t="s">
        <v>236</v>
      </c>
      <c r="D37" s="88">
        <v>17531</v>
      </c>
      <c r="E37" s="89">
        <v>17021</v>
      </c>
      <c r="F37" s="89">
        <v>16989</v>
      </c>
      <c r="G37" s="89">
        <v>17029</v>
      </c>
      <c r="H37" s="90">
        <v>16703</v>
      </c>
      <c r="I37" s="89">
        <v>16516</v>
      </c>
      <c r="J37" s="91">
        <v>16455</v>
      </c>
      <c r="K37" s="91">
        <v>16496</v>
      </c>
      <c r="L37" s="91">
        <v>16583</v>
      </c>
      <c r="M37" s="90">
        <v>16719</v>
      </c>
      <c r="N37" s="87"/>
      <c r="O37" s="87"/>
      <c r="P37" s="87"/>
      <c r="Q37" s="87"/>
      <c r="R37" s="87"/>
      <c r="S37" s="87"/>
      <c r="T37" s="87"/>
    </row>
    <row r="38" spans="1:20" ht="15.75" customHeight="1">
      <c r="A38" s="443"/>
      <c r="B38" s="463" t="s">
        <v>245</v>
      </c>
      <c r="C38" s="462" t="s">
        <v>236</v>
      </c>
      <c r="D38" s="88">
        <v>7608</v>
      </c>
      <c r="E38" s="89">
        <v>7273</v>
      </c>
      <c r="F38" s="89">
        <v>7191</v>
      </c>
      <c r="G38" s="89">
        <v>6979</v>
      </c>
      <c r="H38" s="90">
        <v>6567</v>
      </c>
      <c r="I38" s="89">
        <v>6425</v>
      </c>
      <c r="J38" s="91">
        <v>6372</v>
      </c>
      <c r="K38" s="91">
        <v>6446</v>
      </c>
      <c r="L38" s="91">
        <v>6501</v>
      </c>
      <c r="M38" s="90">
        <v>6557</v>
      </c>
      <c r="N38" s="87"/>
      <c r="O38" s="87"/>
      <c r="P38" s="87"/>
      <c r="Q38" s="87"/>
      <c r="R38" s="87"/>
      <c r="S38" s="87"/>
      <c r="T38" s="87"/>
    </row>
    <row r="39" spans="1:20" ht="15.75" customHeight="1">
      <c r="A39" s="443"/>
      <c r="B39" s="463" t="s">
        <v>246</v>
      </c>
      <c r="C39" s="462" t="s">
        <v>236</v>
      </c>
      <c r="D39" s="88">
        <v>1488</v>
      </c>
      <c r="E39" s="89">
        <v>1506</v>
      </c>
      <c r="F39" s="89">
        <v>1422</v>
      </c>
      <c r="G39" s="89">
        <v>1379</v>
      </c>
      <c r="H39" s="90">
        <v>1379</v>
      </c>
      <c r="I39" s="89">
        <v>1379</v>
      </c>
      <c r="J39" s="91">
        <v>1379</v>
      </c>
      <c r="K39" s="91">
        <v>1379</v>
      </c>
      <c r="L39" s="91">
        <v>1379</v>
      </c>
      <c r="M39" s="90">
        <v>1379</v>
      </c>
      <c r="N39" s="87"/>
      <c r="O39" s="87"/>
      <c r="P39" s="87"/>
      <c r="Q39" s="87"/>
      <c r="R39" s="87"/>
      <c r="S39" s="87"/>
      <c r="T39" s="87"/>
    </row>
    <row r="40" spans="1:20" ht="15.75" customHeight="1">
      <c r="A40" s="443"/>
      <c r="B40" s="461" t="s">
        <v>247</v>
      </c>
      <c r="C40" s="462" t="s">
        <v>236</v>
      </c>
      <c r="D40" s="75">
        <v>26627</v>
      </c>
      <c r="E40" s="78">
        <v>25800</v>
      </c>
      <c r="F40" s="78">
        <v>25602</v>
      </c>
      <c r="G40" s="78">
        <v>25387</v>
      </c>
      <c r="H40" s="77">
        <v>24649</v>
      </c>
      <c r="I40" s="78">
        <v>24320</v>
      </c>
      <c r="J40" s="76">
        <v>24206</v>
      </c>
      <c r="K40" s="76">
        <v>24321</v>
      </c>
      <c r="L40" s="76">
        <v>24463</v>
      </c>
      <c r="M40" s="77">
        <v>24655</v>
      </c>
      <c r="N40" s="87"/>
      <c r="O40" s="87"/>
      <c r="P40" s="87"/>
      <c r="Q40" s="87"/>
      <c r="R40" s="87"/>
      <c r="S40" s="87"/>
      <c r="T40" s="87"/>
    </row>
    <row r="41" spans="1:20" ht="15.75" customHeight="1">
      <c r="A41" s="443"/>
      <c r="B41" s="466"/>
      <c r="C41" s="462"/>
      <c r="D41" s="92"/>
      <c r="E41" s="93"/>
      <c r="F41" s="93"/>
      <c r="G41" s="93"/>
      <c r="H41" s="94"/>
      <c r="I41" s="93"/>
      <c r="J41" s="93"/>
      <c r="K41" s="93"/>
      <c r="L41" s="93"/>
      <c r="M41" s="94"/>
      <c r="N41" s="87"/>
      <c r="O41" s="87"/>
      <c r="P41" s="87"/>
      <c r="Q41" s="87"/>
      <c r="R41" s="87"/>
      <c r="S41" s="87"/>
      <c r="T41" s="87"/>
    </row>
    <row r="42" spans="1:20" ht="15.75" customHeight="1">
      <c r="A42" s="443"/>
      <c r="B42" s="466" t="s">
        <v>248</v>
      </c>
      <c r="C42" s="462"/>
      <c r="D42" s="98"/>
      <c r="E42" s="99"/>
      <c r="F42" s="99"/>
      <c r="G42" s="99"/>
      <c r="H42" s="100"/>
      <c r="I42" s="99"/>
      <c r="J42" s="99"/>
      <c r="K42" s="99"/>
      <c r="L42" s="99"/>
      <c r="M42" s="100"/>
      <c r="N42" s="87"/>
      <c r="O42" s="87"/>
      <c r="P42" s="87"/>
      <c r="Q42" s="87"/>
      <c r="R42" s="87"/>
      <c r="S42" s="87"/>
      <c r="T42" s="87"/>
    </row>
    <row r="43" spans="1:20" ht="15.75" customHeight="1">
      <c r="A43" s="443"/>
      <c r="B43" s="463" t="s">
        <v>244</v>
      </c>
      <c r="C43" s="462" t="s">
        <v>249</v>
      </c>
      <c r="D43" s="88">
        <v>0</v>
      </c>
      <c r="E43" s="89">
        <v>0</v>
      </c>
      <c r="F43" s="89">
        <v>0</v>
      </c>
      <c r="G43" s="89">
        <v>0</v>
      </c>
      <c r="H43" s="90">
        <v>0</v>
      </c>
      <c r="I43" s="89">
        <v>0</v>
      </c>
      <c r="J43" s="91">
        <v>0</v>
      </c>
      <c r="K43" s="91">
        <v>0</v>
      </c>
      <c r="L43" s="91">
        <v>0</v>
      </c>
      <c r="M43" s="90">
        <v>0</v>
      </c>
      <c r="N43" s="87"/>
      <c r="O43" s="87"/>
      <c r="P43" s="87"/>
      <c r="Q43" s="87"/>
      <c r="R43" s="87"/>
      <c r="S43" s="87"/>
      <c r="T43" s="87"/>
    </row>
    <row r="44" spans="1:20" ht="15.75" customHeight="1">
      <c r="A44" s="443"/>
      <c r="B44" s="463" t="s">
        <v>245</v>
      </c>
      <c r="C44" s="462" t="s">
        <v>249</v>
      </c>
      <c r="D44" s="88">
        <v>0</v>
      </c>
      <c r="E44" s="89">
        <v>0</v>
      </c>
      <c r="F44" s="89">
        <v>0</v>
      </c>
      <c r="G44" s="89">
        <v>0</v>
      </c>
      <c r="H44" s="90">
        <v>0</v>
      </c>
      <c r="I44" s="89">
        <v>0</v>
      </c>
      <c r="J44" s="91">
        <v>0</v>
      </c>
      <c r="K44" s="91">
        <v>0</v>
      </c>
      <c r="L44" s="91">
        <v>0</v>
      </c>
      <c r="M44" s="90">
        <v>0</v>
      </c>
      <c r="N44" s="87"/>
      <c r="O44" s="87"/>
      <c r="P44" s="87"/>
      <c r="Q44" s="87"/>
      <c r="R44" s="87"/>
      <c r="S44" s="87"/>
      <c r="T44" s="87"/>
    </row>
    <row r="45" spans="1:20" ht="15.75" customHeight="1">
      <c r="A45" s="443"/>
      <c r="B45" s="463" t="s">
        <v>246</v>
      </c>
      <c r="C45" s="462" t="s">
        <v>249</v>
      </c>
      <c r="D45" s="88">
        <v>0</v>
      </c>
      <c r="E45" s="89">
        <v>0</v>
      </c>
      <c r="F45" s="89">
        <v>0</v>
      </c>
      <c r="G45" s="89">
        <v>0</v>
      </c>
      <c r="H45" s="90">
        <v>0</v>
      </c>
      <c r="I45" s="89">
        <v>0</v>
      </c>
      <c r="J45" s="91">
        <v>0</v>
      </c>
      <c r="K45" s="91">
        <v>0</v>
      </c>
      <c r="L45" s="91">
        <v>0</v>
      </c>
      <c r="M45" s="90">
        <v>0</v>
      </c>
      <c r="N45" s="87"/>
      <c r="O45" s="87"/>
      <c r="P45" s="87"/>
      <c r="Q45" s="87"/>
      <c r="R45" s="87"/>
      <c r="S45" s="87"/>
      <c r="T45" s="87"/>
    </row>
    <row r="46" spans="1:20" ht="15.75" customHeight="1" thickBot="1">
      <c r="A46" s="443"/>
      <c r="B46" s="468" t="s">
        <v>250</v>
      </c>
      <c r="C46" s="469" t="s">
        <v>249</v>
      </c>
      <c r="D46" s="79">
        <v>0</v>
      </c>
      <c r="E46" s="82">
        <v>0</v>
      </c>
      <c r="F46" s="82">
        <v>0</v>
      </c>
      <c r="G46" s="82">
        <v>0</v>
      </c>
      <c r="H46" s="81">
        <v>0</v>
      </c>
      <c r="I46" s="82">
        <v>0</v>
      </c>
      <c r="J46" s="80">
        <v>0</v>
      </c>
      <c r="K46" s="80">
        <v>0</v>
      </c>
      <c r="L46" s="80">
        <v>0</v>
      </c>
      <c r="M46" s="81">
        <v>0</v>
      </c>
      <c r="N46" s="101"/>
      <c r="O46" s="87"/>
      <c r="P46" s="87"/>
      <c r="Q46" s="87"/>
      <c r="R46" s="87"/>
      <c r="S46" s="87"/>
      <c r="T46" s="87"/>
    </row>
    <row r="47" spans="1:20">
      <c r="A47" s="445"/>
      <c r="B47" s="445"/>
      <c r="C47" s="445"/>
      <c r="D47" s="87"/>
      <c r="E47" s="87"/>
      <c r="F47" s="87"/>
      <c r="G47" s="87"/>
      <c r="H47" s="87"/>
      <c r="I47" s="87"/>
      <c r="J47" s="87"/>
      <c r="K47" s="87"/>
      <c r="L47" s="87"/>
      <c r="M47" s="87"/>
      <c r="N47" s="87"/>
      <c r="O47" s="87"/>
      <c r="P47" s="87"/>
      <c r="Q47" s="87"/>
      <c r="R47" s="87"/>
      <c r="S47" s="87"/>
      <c r="T47" s="87"/>
    </row>
    <row r="48" spans="1:20">
      <c r="A48" s="443"/>
      <c r="B48" s="443"/>
      <c r="C48" s="444"/>
      <c r="D48" s="102"/>
      <c r="E48" s="102"/>
      <c r="F48" s="102"/>
      <c r="G48" s="102"/>
      <c r="H48" s="102"/>
      <c r="I48" s="102"/>
      <c r="J48" s="102"/>
      <c r="K48" s="102"/>
      <c r="L48" s="102"/>
      <c r="M48" s="102"/>
      <c r="N48" s="87"/>
      <c r="O48" s="87"/>
      <c r="P48" s="87"/>
      <c r="Q48" s="87"/>
      <c r="R48" s="87"/>
      <c r="S48" s="87"/>
      <c r="T48" s="87"/>
    </row>
    <row r="49" spans="1:20" s="442" customFormat="1" ht="15.75" customHeight="1">
      <c r="A49" s="439"/>
      <c r="B49" s="440" t="s">
        <v>251</v>
      </c>
      <c r="C49" s="441"/>
      <c r="D49" s="102"/>
      <c r="E49" s="102"/>
      <c r="F49" s="102"/>
      <c r="G49" s="102"/>
      <c r="H49" s="102"/>
      <c r="I49" s="102"/>
      <c r="J49" s="102"/>
      <c r="K49" s="102"/>
      <c r="L49" s="102"/>
      <c r="M49" s="102"/>
      <c r="N49" s="102"/>
      <c r="O49" s="66"/>
      <c r="P49" s="66"/>
      <c r="Q49" s="66"/>
      <c r="R49" s="70"/>
      <c r="S49" s="102"/>
      <c r="T49" s="102"/>
    </row>
    <row r="50" spans="1:20" ht="13.5" thickBot="1">
      <c r="A50" s="443"/>
      <c r="B50" s="458"/>
      <c r="C50" s="444"/>
      <c r="D50" s="102"/>
      <c r="E50" s="102"/>
      <c r="F50" s="102"/>
      <c r="G50" s="102"/>
      <c r="H50" s="102"/>
      <c r="I50" s="102"/>
      <c r="J50" s="102"/>
      <c r="K50" s="102"/>
      <c r="L50" s="102"/>
      <c r="M50" s="102"/>
      <c r="N50" s="87"/>
      <c r="O50" s="87"/>
      <c r="P50" s="87"/>
      <c r="Q50" s="87"/>
      <c r="R50" s="87"/>
      <c r="S50" s="87"/>
      <c r="T50" s="87"/>
    </row>
    <row r="51" spans="1:20" ht="15.75" customHeight="1">
      <c r="A51" s="443"/>
      <c r="B51" s="1882" t="s">
        <v>251</v>
      </c>
      <c r="C51" s="1884" t="s">
        <v>210</v>
      </c>
      <c r="D51" s="103" t="s">
        <v>211</v>
      </c>
      <c r="E51" s="104"/>
      <c r="F51" s="104"/>
      <c r="G51" s="104"/>
      <c r="H51" s="105"/>
      <c r="I51" s="104" t="s">
        <v>212</v>
      </c>
      <c r="J51" s="106"/>
      <c r="K51" s="106"/>
      <c r="L51" s="106"/>
      <c r="M51" s="105"/>
      <c r="N51" s="87"/>
      <c r="O51" s="87"/>
      <c r="P51" s="87"/>
      <c r="Q51" s="87"/>
      <c r="R51" s="87"/>
      <c r="S51" s="87"/>
      <c r="T51" s="87"/>
    </row>
    <row r="52" spans="1:20" ht="26.25" customHeight="1">
      <c r="A52" s="443"/>
      <c r="B52" s="1883"/>
      <c r="C52" s="1885"/>
      <c r="D52" s="107" t="s">
        <v>99</v>
      </c>
      <c r="E52" s="108" t="s">
        <v>100</v>
      </c>
      <c r="F52" s="108" t="s">
        <v>101</v>
      </c>
      <c r="G52" s="108" t="s">
        <v>102</v>
      </c>
      <c r="H52" s="109" t="s">
        <v>64</v>
      </c>
      <c r="I52" s="110" t="s">
        <v>213</v>
      </c>
      <c r="J52" s="108" t="s">
        <v>214</v>
      </c>
      <c r="K52" s="108" t="s">
        <v>215</v>
      </c>
      <c r="L52" s="108" t="s">
        <v>216</v>
      </c>
      <c r="M52" s="109" t="s">
        <v>217</v>
      </c>
      <c r="N52" s="87"/>
      <c r="O52" s="87"/>
      <c r="P52" s="87"/>
      <c r="Q52" s="87"/>
      <c r="R52" s="87"/>
      <c r="S52" s="87"/>
      <c r="T52" s="87"/>
    </row>
    <row r="53" spans="1:20" ht="15.75" customHeight="1">
      <c r="A53" s="443"/>
      <c r="B53" s="470" t="s">
        <v>252</v>
      </c>
      <c r="C53" s="471"/>
      <c r="D53" s="111"/>
      <c r="E53" s="112"/>
      <c r="F53" s="112"/>
      <c r="G53" s="112"/>
      <c r="H53" s="113"/>
      <c r="I53" s="93"/>
      <c r="J53" s="93"/>
      <c r="K53" s="93"/>
      <c r="L53" s="93"/>
      <c r="M53" s="94"/>
      <c r="N53" s="114"/>
      <c r="O53" s="87"/>
      <c r="P53" s="87"/>
      <c r="Q53" s="87"/>
      <c r="R53" s="87"/>
      <c r="S53" s="87"/>
      <c r="T53" s="87"/>
    </row>
    <row r="54" spans="1:20" ht="15.75" customHeight="1">
      <c r="A54" s="443"/>
      <c r="B54" s="464" t="s">
        <v>253</v>
      </c>
      <c r="C54" s="472"/>
      <c r="D54" s="115"/>
      <c r="E54" s="116"/>
      <c r="F54" s="116"/>
      <c r="G54" s="116"/>
      <c r="H54" s="117"/>
      <c r="I54" s="96"/>
      <c r="J54" s="96"/>
      <c r="K54" s="96"/>
      <c r="L54" s="96"/>
      <c r="M54" s="97"/>
      <c r="N54" s="114"/>
      <c r="O54" s="87"/>
      <c r="P54" s="87"/>
      <c r="Q54" s="87"/>
      <c r="R54" s="87"/>
      <c r="S54" s="87"/>
      <c r="T54" s="87"/>
    </row>
    <row r="55" spans="1:20" ht="15.75" customHeight="1">
      <c r="A55" s="443"/>
      <c r="B55" s="473" t="s">
        <v>254</v>
      </c>
      <c r="C55" s="472" t="s">
        <v>255</v>
      </c>
      <c r="D55" s="88">
        <v>3</v>
      </c>
      <c r="E55" s="89">
        <v>13</v>
      </c>
      <c r="F55" s="89">
        <v>17</v>
      </c>
      <c r="G55" s="89">
        <v>17</v>
      </c>
      <c r="H55" s="90">
        <v>17</v>
      </c>
      <c r="I55" s="89">
        <v>17</v>
      </c>
      <c r="J55" s="91">
        <v>17</v>
      </c>
      <c r="K55" s="91">
        <v>17</v>
      </c>
      <c r="L55" s="91">
        <v>17</v>
      </c>
      <c r="M55" s="90">
        <v>17</v>
      </c>
      <c r="N55" s="87"/>
      <c r="O55" s="87"/>
      <c r="P55" s="87"/>
      <c r="Q55" s="87"/>
      <c r="R55" s="87"/>
      <c r="S55" s="87"/>
      <c r="T55" s="87"/>
    </row>
    <row r="56" spans="1:20" ht="15.75" customHeight="1">
      <c r="A56" s="443"/>
      <c r="B56" s="473" t="s">
        <v>256</v>
      </c>
      <c r="C56" s="472" t="s">
        <v>255</v>
      </c>
      <c r="D56" s="88">
        <v>22399</v>
      </c>
      <c r="E56" s="89">
        <v>23273</v>
      </c>
      <c r="F56" s="89">
        <v>21895</v>
      </c>
      <c r="G56" s="89">
        <v>19880</v>
      </c>
      <c r="H56" s="90">
        <v>10920</v>
      </c>
      <c r="I56" s="89">
        <v>14000</v>
      </c>
      <c r="J56" s="91">
        <v>13800</v>
      </c>
      <c r="K56" s="91">
        <v>15600</v>
      </c>
      <c r="L56" s="91">
        <v>18300</v>
      </c>
      <c r="M56" s="90">
        <v>21900</v>
      </c>
      <c r="N56" s="87"/>
      <c r="O56" s="87"/>
      <c r="P56" s="87"/>
      <c r="Q56" s="87"/>
      <c r="R56" s="87"/>
      <c r="S56" s="87"/>
      <c r="T56" s="87"/>
    </row>
    <row r="57" spans="1:20" ht="15.75" customHeight="1">
      <c r="A57" s="443"/>
      <c r="B57" s="473" t="s">
        <v>257</v>
      </c>
      <c r="C57" s="472" t="s">
        <v>255</v>
      </c>
      <c r="D57" s="88">
        <v>6218</v>
      </c>
      <c r="E57" s="89">
        <v>8212</v>
      </c>
      <c r="F57" s="89">
        <v>8333</v>
      </c>
      <c r="G57" s="89">
        <v>7588</v>
      </c>
      <c r="H57" s="90">
        <v>7588</v>
      </c>
      <c r="I57" s="89">
        <v>7588</v>
      </c>
      <c r="J57" s="91">
        <v>7588</v>
      </c>
      <c r="K57" s="91">
        <v>7588</v>
      </c>
      <c r="L57" s="91">
        <v>7588</v>
      </c>
      <c r="M57" s="90">
        <v>7588</v>
      </c>
      <c r="N57" s="87"/>
      <c r="O57" s="87"/>
      <c r="P57" s="87"/>
      <c r="Q57" s="87"/>
      <c r="R57" s="87"/>
      <c r="S57" s="87"/>
      <c r="T57" s="87"/>
    </row>
    <row r="58" spans="1:20" ht="15.75" customHeight="1">
      <c r="A58" s="443"/>
      <c r="B58" s="464" t="s">
        <v>258</v>
      </c>
      <c r="C58" s="472"/>
      <c r="D58" s="115"/>
      <c r="E58" s="116"/>
      <c r="F58" s="116"/>
      <c r="G58" s="116"/>
      <c r="H58" s="117"/>
      <c r="I58" s="96"/>
      <c r="J58" s="96"/>
      <c r="K58" s="96"/>
      <c r="L58" s="96"/>
      <c r="M58" s="97"/>
      <c r="N58" s="114"/>
      <c r="O58" s="87"/>
      <c r="P58" s="87"/>
      <c r="Q58" s="87"/>
      <c r="R58" s="87"/>
      <c r="S58" s="87"/>
      <c r="T58" s="87"/>
    </row>
    <row r="59" spans="1:20" ht="15.75" customHeight="1">
      <c r="A59" s="443"/>
      <c r="B59" s="473" t="s">
        <v>254</v>
      </c>
      <c r="C59" s="472" t="s">
        <v>255</v>
      </c>
      <c r="D59" s="88">
        <v>1</v>
      </c>
      <c r="E59" s="89">
        <v>8</v>
      </c>
      <c r="F59" s="89">
        <v>6</v>
      </c>
      <c r="G59" s="89">
        <v>6</v>
      </c>
      <c r="H59" s="90">
        <v>6</v>
      </c>
      <c r="I59" s="89">
        <v>6</v>
      </c>
      <c r="J59" s="91">
        <v>6</v>
      </c>
      <c r="K59" s="91">
        <v>6</v>
      </c>
      <c r="L59" s="91">
        <v>6</v>
      </c>
      <c r="M59" s="90">
        <v>6</v>
      </c>
      <c r="N59" s="87"/>
      <c r="O59" s="87"/>
      <c r="P59" s="87"/>
      <c r="Q59" s="87"/>
      <c r="R59" s="87"/>
      <c r="S59" s="87"/>
      <c r="T59" s="87"/>
    </row>
    <row r="60" spans="1:20" ht="15.75" customHeight="1">
      <c r="A60" s="443"/>
      <c r="B60" s="473" t="s">
        <v>256</v>
      </c>
      <c r="C60" s="472" t="s">
        <v>255</v>
      </c>
      <c r="D60" s="88">
        <v>24</v>
      </c>
      <c r="E60" s="89">
        <v>53</v>
      </c>
      <c r="F60" s="89">
        <v>71</v>
      </c>
      <c r="G60" s="89">
        <v>62.992952214286589</v>
      </c>
      <c r="H60" s="90">
        <v>41.48714316042463</v>
      </c>
      <c r="I60" s="89">
        <v>52.520657302683901</v>
      </c>
      <c r="J60" s="91">
        <v>52.739919808509683</v>
      </c>
      <c r="K60" s="91">
        <v>64.714775600461081</v>
      </c>
      <c r="L60" s="91">
        <v>65.254663573242837</v>
      </c>
      <c r="M60" s="90">
        <v>65.754088359370883</v>
      </c>
      <c r="N60" s="87"/>
      <c r="O60" s="87"/>
      <c r="P60" s="87"/>
      <c r="Q60" s="87"/>
      <c r="R60" s="87"/>
      <c r="S60" s="87"/>
      <c r="T60" s="87"/>
    </row>
    <row r="61" spans="1:20" ht="15.75" customHeight="1">
      <c r="A61" s="443"/>
      <c r="B61" s="473" t="s">
        <v>257</v>
      </c>
      <c r="C61" s="472" t="s">
        <v>255</v>
      </c>
      <c r="D61" s="88">
        <v>41</v>
      </c>
      <c r="E61" s="89">
        <v>29</v>
      </c>
      <c r="F61" s="89">
        <v>30</v>
      </c>
      <c r="G61" s="89">
        <v>33</v>
      </c>
      <c r="H61" s="90">
        <v>33</v>
      </c>
      <c r="I61" s="89">
        <v>33</v>
      </c>
      <c r="J61" s="91">
        <v>33</v>
      </c>
      <c r="K61" s="91">
        <v>33</v>
      </c>
      <c r="L61" s="91">
        <v>33</v>
      </c>
      <c r="M61" s="90">
        <v>33</v>
      </c>
      <c r="N61" s="87"/>
      <c r="O61" s="87"/>
      <c r="P61" s="87"/>
      <c r="Q61" s="87"/>
      <c r="R61" s="87"/>
      <c r="S61" s="87"/>
      <c r="T61" s="87"/>
    </row>
    <row r="62" spans="1:20" ht="15.75" customHeight="1">
      <c r="A62" s="443"/>
      <c r="B62" s="464" t="s">
        <v>259</v>
      </c>
      <c r="C62" s="472"/>
      <c r="D62" s="115"/>
      <c r="E62" s="116"/>
      <c r="F62" s="116"/>
      <c r="G62" s="116"/>
      <c r="H62" s="117"/>
      <c r="I62" s="96"/>
      <c r="J62" s="96"/>
      <c r="K62" s="96"/>
      <c r="L62" s="96"/>
      <c r="M62" s="97"/>
      <c r="N62" s="114"/>
      <c r="O62" s="87"/>
      <c r="P62" s="87"/>
      <c r="Q62" s="87"/>
      <c r="R62" s="87"/>
      <c r="S62" s="87"/>
      <c r="T62" s="87"/>
    </row>
    <row r="63" spans="1:20" ht="15.75" customHeight="1">
      <c r="A63" s="443"/>
      <c r="B63" s="473" t="s">
        <v>254</v>
      </c>
      <c r="C63" s="472" t="s">
        <v>255</v>
      </c>
      <c r="D63" s="88">
        <v>0</v>
      </c>
      <c r="E63" s="89">
        <v>0</v>
      </c>
      <c r="F63" s="89">
        <v>0</v>
      </c>
      <c r="G63" s="89">
        <v>0</v>
      </c>
      <c r="H63" s="90">
        <v>2</v>
      </c>
      <c r="I63" s="89">
        <v>0</v>
      </c>
      <c r="J63" s="91">
        <v>0</v>
      </c>
      <c r="K63" s="91">
        <v>1</v>
      </c>
      <c r="L63" s="91">
        <v>0</v>
      </c>
      <c r="M63" s="90">
        <v>0</v>
      </c>
      <c r="N63" s="87"/>
      <c r="O63" s="87"/>
      <c r="P63" s="87"/>
      <c r="Q63" s="87"/>
      <c r="R63" s="87"/>
      <c r="S63" s="87"/>
      <c r="T63" s="87"/>
    </row>
    <row r="64" spans="1:20" ht="15.75" customHeight="1">
      <c r="A64" s="443"/>
      <c r="B64" s="473" t="s">
        <v>256</v>
      </c>
      <c r="C64" s="472" t="s">
        <v>255</v>
      </c>
      <c r="D64" s="88">
        <v>0</v>
      </c>
      <c r="E64" s="89">
        <v>2</v>
      </c>
      <c r="F64" s="89">
        <v>0</v>
      </c>
      <c r="G64" s="89">
        <v>0</v>
      </c>
      <c r="H64" s="90">
        <v>0</v>
      </c>
      <c r="I64" s="89">
        <v>0</v>
      </c>
      <c r="J64" s="91">
        <v>0</v>
      </c>
      <c r="K64" s="91">
        <v>0</v>
      </c>
      <c r="L64" s="91">
        <v>0</v>
      </c>
      <c r="M64" s="90">
        <v>0</v>
      </c>
      <c r="N64" s="87"/>
      <c r="O64" s="87"/>
      <c r="P64" s="87"/>
      <c r="Q64" s="87"/>
      <c r="R64" s="87"/>
      <c r="S64" s="87"/>
      <c r="T64" s="87"/>
    </row>
    <row r="65" spans="1:20" ht="15.75" customHeight="1">
      <c r="A65" s="443"/>
      <c r="B65" s="473" t="s">
        <v>257</v>
      </c>
      <c r="C65" s="472" t="s">
        <v>255</v>
      </c>
      <c r="D65" s="88">
        <v>6</v>
      </c>
      <c r="E65" s="89">
        <v>2</v>
      </c>
      <c r="F65" s="89">
        <v>0</v>
      </c>
      <c r="G65" s="89">
        <v>0</v>
      </c>
      <c r="H65" s="90">
        <v>0</v>
      </c>
      <c r="I65" s="89">
        <v>0</v>
      </c>
      <c r="J65" s="91">
        <v>0</v>
      </c>
      <c r="K65" s="91">
        <v>0</v>
      </c>
      <c r="L65" s="91">
        <v>0</v>
      </c>
      <c r="M65" s="90">
        <v>0</v>
      </c>
      <c r="N65" s="87"/>
      <c r="O65" s="87"/>
      <c r="P65" s="87"/>
      <c r="Q65" s="87"/>
      <c r="R65" s="87"/>
      <c r="S65" s="87"/>
      <c r="T65" s="87"/>
    </row>
    <row r="66" spans="1:20" ht="15.75" customHeight="1">
      <c r="A66" s="443"/>
      <c r="B66" s="464" t="s">
        <v>260</v>
      </c>
      <c r="C66" s="472"/>
      <c r="D66" s="115"/>
      <c r="E66" s="116"/>
      <c r="F66" s="116"/>
      <c r="G66" s="116"/>
      <c r="H66" s="117"/>
      <c r="I66" s="96"/>
      <c r="J66" s="96"/>
      <c r="K66" s="96"/>
      <c r="L66" s="96"/>
      <c r="M66" s="97"/>
      <c r="N66" s="114"/>
      <c r="O66" s="87"/>
      <c r="P66" s="87"/>
      <c r="Q66" s="87"/>
      <c r="R66" s="87"/>
      <c r="S66" s="87"/>
      <c r="T66" s="87"/>
    </row>
    <row r="67" spans="1:20" ht="15.75" customHeight="1">
      <c r="A67" s="443"/>
      <c r="B67" s="473" t="s">
        <v>254</v>
      </c>
      <c r="C67" s="472" t="s">
        <v>255</v>
      </c>
      <c r="D67" s="118">
        <v>0</v>
      </c>
      <c r="E67" s="119">
        <v>0</v>
      </c>
      <c r="F67" s="119">
        <v>0</v>
      </c>
      <c r="G67" s="119">
        <v>0</v>
      </c>
      <c r="H67" s="120">
        <v>0</v>
      </c>
      <c r="I67" s="119">
        <v>0</v>
      </c>
      <c r="J67" s="121">
        <v>0</v>
      </c>
      <c r="K67" s="121">
        <v>0</v>
      </c>
      <c r="L67" s="121">
        <v>0</v>
      </c>
      <c r="M67" s="120">
        <v>0</v>
      </c>
      <c r="N67" s="87"/>
      <c r="O67" s="87"/>
      <c r="P67" s="87"/>
      <c r="Q67" s="87"/>
      <c r="R67" s="87"/>
      <c r="S67" s="87"/>
      <c r="T67" s="87"/>
    </row>
    <row r="68" spans="1:20" ht="15.75" customHeight="1">
      <c r="A68" s="443"/>
      <c r="B68" s="473" t="s">
        <v>256</v>
      </c>
      <c r="C68" s="472" t="s">
        <v>255</v>
      </c>
      <c r="D68" s="118">
        <v>0</v>
      </c>
      <c r="E68" s="119">
        <v>0</v>
      </c>
      <c r="F68" s="119">
        <v>0</v>
      </c>
      <c r="G68" s="119">
        <v>0</v>
      </c>
      <c r="H68" s="120">
        <v>0</v>
      </c>
      <c r="I68" s="119">
        <v>0</v>
      </c>
      <c r="J68" s="121">
        <v>0</v>
      </c>
      <c r="K68" s="121">
        <v>0</v>
      </c>
      <c r="L68" s="121">
        <v>0</v>
      </c>
      <c r="M68" s="120">
        <v>0</v>
      </c>
      <c r="N68" s="87"/>
      <c r="O68" s="87"/>
      <c r="P68" s="87"/>
      <c r="Q68" s="87"/>
      <c r="R68" s="87"/>
      <c r="S68" s="87"/>
      <c r="T68" s="87"/>
    </row>
    <row r="69" spans="1:20" ht="15.75" customHeight="1">
      <c r="A69" s="443"/>
      <c r="B69" s="473" t="s">
        <v>257</v>
      </c>
      <c r="C69" s="472" t="s">
        <v>255</v>
      </c>
      <c r="D69" s="88">
        <v>0</v>
      </c>
      <c r="E69" s="89">
        <v>0</v>
      </c>
      <c r="F69" s="89">
        <v>0</v>
      </c>
      <c r="G69" s="89">
        <v>0</v>
      </c>
      <c r="H69" s="90">
        <v>0</v>
      </c>
      <c r="I69" s="89">
        <v>0</v>
      </c>
      <c r="J69" s="91">
        <v>0</v>
      </c>
      <c r="K69" s="91">
        <v>0</v>
      </c>
      <c r="L69" s="91">
        <v>0</v>
      </c>
      <c r="M69" s="90">
        <v>0</v>
      </c>
      <c r="N69" s="87"/>
      <c r="O69" s="87"/>
      <c r="P69" s="87"/>
      <c r="Q69" s="87"/>
      <c r="R69" s="87"/>
      <c r="S69" s="87"/>
      <c r="T69" s="87"/>
    </row>
    <row r="70" spans="1:20" ht="15.75" customHeight="1">
      <c r="A70" s="443"/>
      <c r="B70" s="461" t="s">
        <v>261</v>
      </c>
      <c r="C70" s="472" t="s">
        <v>255</v>
      </c>
      <c r="D70" s="75">
        <v>22427</v>
      </c>
      <c r="E70" s="76">
        <v>23349</v>
      </c>
      <c r="F70" s="76">
        <v>21989</v>
      </c>
      <c r="G70" s="76">
        <v>19965.992952214288</v>
      </c>
      <c r="H70" s="77">
        <v>10986.487143160424</v>
      </c>
      <c r="I70" s="78">
        <v>14075.520657302684</v>
      </c>
      <c r="J70" s="76">
        <v>13875.73991980851</v>
      </c>
      <c r="K70" s="76">
        <v>15688.714775600462</v>
      </c>
      <c r="L70" s="76">
        <v>18388.254663573243</v>
      </c>
      <c r="M70" s="77">
        <v>21988.754088359372</v>
      </c>
      <c r="N70" s="122"/>
      <c r="O70" s="87"/>
      <c r="P70" s="87"/>
      <c r="Q70" s="87"/>
      <c r="R70" s="87"/>
      <c r="S70" s="87"/>
      <c r="T70" s="87"/>
    </row>
    <row r="71" spans="1:20" ht="15.75" customHeight="1" thickBot="1">
      <c r="A71" s="443"/>
      <c r="B71" s="474" t="s">
        <v>262</v>
      </c>
      <c r="C71" s="475" t="s">
        <v>255</v>
      </c>
      <c r="D71" s="79">
        <v>6265</v>
      </c>
      <c r="E71" s="80">
        <v>8243</v>
      </c>
      <c r="F71" s="80">
        <v>8363</v>
      </c>
      <c r="G71" s="80">
        <v>7621</v>
      </c>
      <c r="H71" s="81">
        <v>7621</v>
      </c>
      <c r="I71" s="82">
        <v>7621</v>
      </c>
      <c r="J71" s="80">
        <v>7621</v>
      </c>
      <c r="K71" s="80">
        <v>7621</v>
      </c>
      <c r="L71" s="80">
        <v>7621</v>
      </c>
      <c r="M71" s="81">
        <v>7621</v>
      </c>
      <c r="N71" s="122"/>
      <c r="O71" s="87"/>
      <c r="P71" s="87"/>
      <c r="Q71" s="87"/>
      <c r="R71" s="87"/>
      <c r="S71" s="87"/>
      <c r="T71" s="87"/>
    </row>
    <row r="72" spans="1:20">
      <c r="A72" s="443"/>
      <c r="B72" s="476"/>
      <c r="C72" s="477"/>
      <c r="D72" s="87"/>
      <c r="E72" s="87"/>
      <c r="F72" s="87"/>
      <c r="G72" s="87"/>
      <c r="H72" s="87"/>
      <c r="I72" s="87"/>
      <c r="J72" s="87"/>
      <c r="K72" s="87"/>
      <c r="L72" s="87"/>
      <c r="M72" s="87"/>
      <c r="N72" s="87"/>
      <c r="O72" s="87"/>
      <c r="P72" s="87"/>
      <c r="Q72" s="87"/>
      <c r="R72" s="87"/>
      <c r="S72" s="87"/>
      <c r="T72" s="87"/>
    </row>
    <row r="73" spans="1:20">
      <c r="A73" s="443"/>
      <c r="B73" s="478"/>
      <c r="C73" s="479"/>
      <c r="D73" s="123"/>
      <c r="E73" s="123"/>
      <c r="F73" s="123"/>
      <c r="G73" s="123"/>
      <c r="H73" s="123"/>
      <c r="I73" s="123"/>
      <c r="J73" s="123"/>
      <c r="K73" s="123"/>
      <c r="L73" s="123"/>
      <c r="M73" s="123"/>
      <c r="N73" s="87"/>
      <c r="O73" s="123"/>
      <c r="P73" s="123"/>
      <c r="Q73" s="123"/>
      <c r="R73" s="87"/>
      <c r="S73" s="123"/>
      <c r="T73" s="123"/>
    </row>
    <row r="74" spans="1:20" s="442" customFormat="1" ht="15.75" customHeight="1">
      <c r="A74" s="439"/>
      <c r="B74" s="440" t="s">
        <v>263</v>
      </c>
      <c r="C74" s="441"/>
      <c r="D74" s="102"/>
      <c r="E74" s="102"/>
      <c r="F74" s="102"/>
      <c r="G74" s="102"/>
      <c r="H74" s="102"/>
      <c r="I74" s="102"/>
      <c r="J74" s="102"/>
      <c r="K74" s="102"/>
      <c r="L74" s="102"/>
      <c r="M74" s="102"/>
      <c r="N74" s="102"/>
      <c r="O74" s="66"/>
      <c r="P74" s="66"/>
      <c r="Q74" s="66"/>
      <c r="R74" s="70"/>
      <c r="S74" s="102"/>
      <c r="T74" s="102"/>
    </row>
    <row r="75" spans="1:20" ht="13.5" thickBot="1">
      <c r="A75" s="443"/>
      <c r="B75" s="458"/>
      <c r="C75" s="479"/>
      <c r="D75" s="123"/>
      <c r="E75" s="123"/>
      <c r="F75" s="123"/>
      <c r="G75" s="123"/>
      <c r="H75" s="123"/>
      <c r="I75" s="123"/>
      <c r="J75" s="123"/>
      <c r="K75" s="123"/>
      <c r="L75" s="123"/>
      <c r="M75" s="123"/>
      <c r="N75" s="87"/>
      <c r="O75" s="123"/>
      <c r="P75" s="123"/>
      <c r="Q75" s="123"/>
      <c r="R75" s="87"/>
      <c r="S75" s="123"/>
      <c r="T75" s="123"/>
    </row>
    <row r="76" spans="1:20" ht="15.75" customHeight="1">
      <c r="A76" s="443"/>
      <c r="B76" s="1882" t="s">
        <v>263</v>
      </c>
      <c r="C76" s="1884" t="s">
        <v>210</v>
      </c>
      <c r="D76" s="103" t="s">
        <v>211</v>
      </c>
      <c r="E76" s="104"/>
      <c r="F76" s="104"/>
      <c r="G76" s="104"/>
      <c r="H76" s="105"/>
      <c r="I76" s="104" t="s">
        <v>212</v>
      </c>
      <c r="J76" s="106"/>
      <c r="K76" s="106"/>
      <c r="L76" s="106"/>
      <c r="M76" s="105"/>
      <c r="N76" s="87"/>
      <c r="O76" s="124" t="s">
        <v>211</v>
      </c>
      <c r="P76" s="125"/>
      <c r="Q76" s="126"/>
      <c r="R76" s="87"/>
      <c r="S76" s="124" t="s">
        <v>212</v>
      </c>
      <c r="T76" s="126"/>
    </row>
    <row r="77" spans="1:20" ht="25.5">
      <c r="A77" s="443"/>
      <c r="B77" s="1883"/>
      <c r="C77" s="1885"/>
      <c r="D77" s="107" t="s">
        <v>99</v>
      </c>
      <c r="E77" s="108" t="s">
        <v>100</v>
      </c>
      <c r="F77" s="108" t="s">
        <v>101</v>
      </c>
      <c r="G77" s="108" t="s">
        <v>102</v>
      </c>
      <c r="H77" s="109" t="s">
        <v>64</v>
      </c>
      <c r="I77" s="110" t="s">
        <v>213</v>
      </c>
      <c r="J77" s="108" t="s">
        <v>214</v>
      </c>
      <c r="K77" s="108" t="s">
        <v>215</v>
      </c>
      <c r="L77" s="108" t="s">
        <v>216</v>
      </c>
      <c r="M77" s="109" t="s">
        <v>217</v>
      </c>
      <c r="N77" s="87"/>
      <c r="O77" s="127" t="s">
        <v>218</v>
      </c>
      <c r="P77" s="128" t="s">
        <v>219</v>
      </c>
      <c r="Q77" s="129" t="s">
        <v>220</v>
      </c>
      <c r="R77" s="87"/>
      <c r="S77" s="127" t="s">
        <v>219</v>
      </c>
      <c r="T77" s="129" t="s">
        <v>221</v>
      </c>
    </row>
    <row r="78" spans="1:20" ht="15.75" customHeight="1">
      <c r="A78" s="443"/>
      <c r="B78" s="480" t="s">
        <v>264</v>
      </c>
      <c r="C78" s="481"/>
      <c r="D78" s="111"/>
      <c r="E78" s="112"/>
      <c r="F78" s="112"/>
      <c r="G78" s="112"/>
      <c r="H78" s="113"/>
      <c r="I78" s="93"/>
      <c r="J78" s="93"/>
      <c r="K78" s="93"/>
      <c r="L78" s="93"/>
      <c r="M78" s="94"/>
      <c r="N78" s="87"/>
      <c r="O78" s="92"/>
      <c r="P78" s="93"/>
      <c r="Q78" s="94"/>
      <c r="R78" s="87"/>
      <c r="S78" s="92"/>
      <c r="T78" s="94"/>
    </row>
    <row r="79" spans="1:20" ht="15.75" customHeight="1">
      <c r="A79" s="443"/>
      <c r="B79" s="482" t="s">
        <v>265</v>
      </c>
      <c r="C79" s="483"/>
      <c r="D79" s="130"/>
      <c r="E79" s="131"/>
      <c r="F79" s="131"/>
      <c r="G79" s="131"/>
      <c r="H79" s="132"/>
      <c r="I79" s="131"/>
      <c r="J79" s="131"/>
      <c r="K79" s="131"/>
      <c r="L79" s="131"/>
      <c r="M79" s="132"/>
      <c r="N79" s="87"/>
      <c r="O79" s="133"/>
      <c r="P79" s="134"/>
      <c r="Q79" s="135"/>
      <c r="R79" s="87"/>
      <c r="S79" s="130"/>
      <c r="T79" s="132"/>
    </row>
    <row r="80" spans="1:20" ht="15.75" customHeight="1">
      <c r="A80" s="443"/>
      <c r="B80" s="484" t="s">
        <v>266</v>
      </c>
      <c r="C80" s="472" t="s">
        <v>223</v>
      </c>
      <c r="D80" s="88">
        <v>20.595027417191432</v>
      </c>
      <c r="E80" s="89">
        <v>37.834300961737185</v>
      </c>
      <c r="F80" s="89">
        <v>31.199367178730903</v>
      </c>
      <c r="G80" s="89">
        <v>20.596795790882734</v>
      </c>
      <c r="H80" s="90">
        <v>11.351092598773578</v>
      </c>
      <c r="I80" s="89">
        <v>14.452921703729682</v>
      </c>
      <c r="J80" s="91">
        <v>14.23412296267572</v>
      </c>
      <c r="K80" s="91">
        <v>16.19994012669698</v>
      </c>
      <c r="L80" s="91">
        <v>18.980553573820728</v>
      </c>
      <c r="M80" s="90">
        <v>22.768565575082629</v>
      </c>
      <c r="N80" s="87"/>
      <c r="O80" s="67">
        <v>89.628695557659512</v>
      </c>
      <c r="P80" s="68">
        <v>31.947888389656313</v>
      </c>
      <c r="Q80" s="69">
        <v>121.57658394731583</v>
      </c>
      <c r="R80" s="87"/>
      <c r="S80" s="67">
        <v>86.636103942005747</v>
      </c>
      <c r="T80" s="69">
        <v>-0.28739481626207919</v>
      </c>
    </row>
    <row r="81" spans="1:20" ht="15.75" customHeight="1">
      <c r="A81" s="443"/>
      <c r="B81" s="484" t="s">
        <v>267</v>
      </c>
      <c r="C81" s="472" t="s">
        <v>223</v>
      </c>
      <c r="D81" s="88">
        <v>1.4338704848091439</v>
      </c>
      <c r="E81" s="89">
        <v>2.2021014907876348</v>
      </c>
      <c r="F81" s="89">
        <v>1.0474207650999923</v>
      </c>
      <c r="G81" s="89">
        <v>8.9889227849944628</v>
      </c>
      <c r="H81" s="90">
        <v>8.3454867302639144</v>
      </c>
      <c r="I81" s="89">
        <v>5.1848297422349043</v>
      </c>
      <c r="J81" s="91">
        <v>6.7297448061725529</v>
      </c>
      <c r="K81" s="91">
        <v>7.684050175802577</v>
      </c>
      <c r="L81" s="91">
        <v>6.3708384237795661</v>
      </c>
      <c r="M81" s="90">
        <v>9.7973708048724948</v>
      </c>
      <c r="N81" s="87"/>
      <c r="O81" s="67">
        <v>4.683392740696771</v>
      </c>
      <c r="P81" s="68">
        <v>17.334409515258379</v>
      </c>
      <c r="Q81" s="69">
        <v>22.017802255955147</v>
      </c>
      <c r="R81" s="87"/>
      <c r="S81" s="67">
        <v>35.766833952862093</v>
      </c>
      <c r="T81" s="69">
        <v>0.62445068481747545</v>
      </c>
    </row>
    <row r="82" spans="1:20" ht="15.75" customHeight="1">
      <c r="A82" s="443"/>
      <c r="B82" s="485" t="s">
        <v>268</v>
      </c>
      <c r="C82" s="472" t="s">
        <v>223</v>
      </c>
      <c r="D82" s="67">
        <v>22.028897902000576</v>
      </c>
      <c r="E82" s="136">
        <v>40.036402452524818</v>
      </c>
      <c r="F82" s="136">
        <v>32.246787943830896</v>
      </c>
      <c r="G82" s="136">
        <v>29.585718575877195</v>
      </c>
      <c r="H82" s="69">
        <v>19.69657932903749</v>
      </c>
      <c r="I82" s="136">
        <v>19.637751445964586</v>
      </c>
      <c r="J82" s="68">
        <v>20.963867768848274</v>
      </c>
      <c r="K82" s="68">
        <v>23.883990302499555</v>
      </c>
      <c r="L82" s="68">
        <v>25.351391997600295</v>
      </c>
      <c r="M82" s="69">
        <v>32.565936379955126</v>
      </c>
      <c r="N82" s="87"/>
      <c r="O82" s="67">
        <v>94.312088298356286</v>
      </c>
      <c r="P82" s="68">
        <v>49.282297904914685</v>
      </c>
      <c r="Q82" s="69">
        <v>143.59438620327097</v>
      </c>
      <c r="R82" s="87"/>
      <c r="S82" s="67">
        <v>122.40293789486785</v>
      </c>
      <c r="T82" s="69">
        <v>-0.14757852913835151</v>
      </c>
    </row>
    <row r="83" spans="1:20" ht="15.75" customHeight="1">
      <c r="A83" s="443"/>
      <c r="B83" s="482" t="s">
        <v>269</v>
      </c>
      <c r="C83" s="486"/>
      <c r="D83" s="137"/>
      <c r="E83" s="138"/>
      <c r="F83" s="138"/>
      <c r="G83" s="138"/>
      <c r="H83" s="139"/>
      <c r="I83" s="138"/>
      <c r="J83" s="138"/>
      <c r="K83" s="138"/>
      <c r="L83" s="138"/>
      <c r="M83" s="139"/>
      <c r="N83" s="87"/>
      <c r="O83" s="140"/>
      <c r="P83" s="138"/>
      <c r="Q83" s="139"/>
      <c r="R83" s="87"/>
      <c r="S83" s="137"/>
      <c r="T83" s="139"/>
    </row>
    <row r="84" spans="1:20" ht="15.75" customHeight="1">
      <c r="A84" s="443"/>
      <c r="B84" s="484" t="s">
        <v>266</v>
      </c>
      <c r="C84" s="472" t="s">
        <v>223</v>
      </c>
      <c r="D84" s="88">
        <v>8.330135447331136</v>
      </c>
      <c r="E84" s="89">
        <v>11.045369063521743</v>
      </c>
      <c r="F84" s="89">
        <v>6.7135490442317458</v>
      </c>
      <c r="G84" s="89">
        <v>1.2119243908090052</v>
      </c>
      <c r="H84" s="90">
        <v>0.70827559327859901</v>
      </c>
      <c r="I84" s="89">
        <v>0.86737111833111058</v>
      </c>
      <c r="J84" s="91">
        <v>0.85001834551967037</v>
      </c>
      <c r="K84" s="91">
        <v>0.96214070850747269</v>
      </c>
      <c r="L84" s="91">
        <v>1.1290102168002305</v>
      </c>
      <c r="M84" s="90">
        <v>1.3681943626233313</v>
      </c>
      <c r="N84" s="87"/>
      <c r="O84" s="67">
        <v>26.089053555084625</v>
      </c>
      <c r="P84" s="68">
        <v>1.9201999840876041</v>
      </c>
      <c r="Q84" s="69">
        <v>28.009253539172231</v>
      </c>
      <c r="R84" s="87"/>
      <c r="S84" s="67">
        <v>5.1767347517818152</v>
      </c>
      <c r="T84" s="69">
        <v>-0.81517769673719032</v>
      </c>
    </row>
    <row r="85" spans="1:20" ht="15.75" customHeight="1">
      <c r="A85" s="443"/>
      <c r="B85" s="484" t="s">
        <v>267</v>
      </c>
      <c r="C85" s="472" t="s">
        <v>223</v>
      </c>
      <c r="D85" s="88">
        <v>2.8490955874720831</v>
      </c>
      <c r="E85" s="89">
        <v>4.5602907461661335</v>
      </c>
      <c r="F85" s="89">
        <v>7.9800739044726114</v>
      </c>
      <c r="G85" s="89">
        <v>1.973477208740229</v>
      </c>
      <c r="H85" s="90">
        <v>2.1159440908114577</v>
      </c>
      <c r="I85" s="89">
        <v>1.7235201152162836</v>
      </c>
      <c r="J85" s="91">
        <v>2.6473588199019971</v>
      </c>
      <c r="K85" s="91">
        <v>1.8096989544000628</v>
      </c>
      <c r="L85" s="91">
        <v>2.0237048389510526</v>
      </c>
      <c r="M85" s="90">
        <v>3.6596600643994752</v>
      </c>
      <c r="N85" s="87"/>
      <c r="O85" s="67">
        <v>15.389460238110829</v>
      </c>
      <c r="P85" s="68">
        <v>4.0894212995516863</v>
      </c>
      <c r="Q85" s="69">
        <v>19.478881537662513</v>
      </c>
      <c r="R85" s="87"/>
      <c r="S85" s="67">
        <v>11.863942792868871</v>
      </c>
      <c r="T85" s="69">
        <v>-0.39093305896799674</v>
      </c>
    </row>
    <row r="86" spans="1:20" ht="15.75" customHeight="1">
      <c r="A86" s="443"/>
      <c r="B86" s="485" t="s">
        <v>270</v>
      </c>
      <c r="C86" s="472" t="s">
        <v>223</v>
      </c>
      <c r="D86" s="67">
        <v>11.17923103480322</v>
      </c>
      <c r="E86" s="136">
        <v>15.605659809687877</v>
      </c>
      <c r="F86" s="136">
        <v>14.693622948704357</v>
      </c>
      <c r="G86" s="136">
        <v>3.185401599549234</v>
      </c>
      <c r="H86" s="69">
        <v>2.8242196840900569</v>
      </c>
      <c r="I86" s="136">
        <v>2.5908912335473939</v>
      </c>
      <c r="J86" s="68">
        <v>3.4973771654216677</v>
      </c>
      <c r="K86" s="68">
        <v>2.7718396629075355</v>
      </c>
      <c r="L86" s="68">
        <v>3.1527150557512833</v>
      </c>
      <c r="M86" s="69">
        <v>5.027854427022806</v>
      </c>
      <c r="N86" s="87"/>
      <c r="O86" s="67">
        <v>41.478513793195454</v>
      </c>
      <c r="P86" s="68">
        <v>6.0096212836392908</v>
      </c>
      <c r="Q86" s="69">
        <v>47.488135076834737</v>
      </c>
      <c r="R86" s="87"/>
      <c r="S86" s="67">
        <v>17.040677544650684</v>
      </c>
      <c r="T86" s="69">
        <v>-0.64115925973763233</v>
      </c>
    </row>
    <row r="87" spans="1:20" ht="15.75" customHeight="1">
      <c r="A87" s="443"/>
      <c r="B87" s="482" t="s">
        <v>271</v>
      </c>
      <c r="C87" s="486"/>
      <c r="D87" s="137"/>
      <c r="E87" s="138"/>
      <c r="F87" s="138"/>
      <c r="G87" s="138"/>
      <c r="H87" s="139"/>
      <c r="I87" s="138"/>
      <c r="J87" s="138"/>
      <c r="K87" s="138"/>
      <c r="L87" s="138"/>
      <c r="M87" s="139"/>
      <c r="N87" s="87"/>
      <c r="O87" s="137"/>
      <c r="P87" s="138"/>
      <c r="Q87" s="139"/>
      <c r="R87" s="87"/>
      <c r="S87" s="137"/>
      <c r="T87" s="139"/>
    </row>
    <row r="88" spans="1:20" ht="15.75" customHeight="1">
      <c r="A88" s="443"/>
      <c r="B88" s="484" t="s">
        <v>266</v>
      </c>
      <c r="C88" s="472" t="s">
        <v>223</v>
      </c>
      <c r="D88" s="88">
        <v>0.25964676797355279</v>
      </c>
      <c r="E88" s="89">
        <v>0</v>
      </c>
      <c r="F88" s="89">
        <v>5.270547250998029E-2</v>
      </c>
      <c r="G88" s="89">
        <v>0.44914663581655295</v>
      </c>
      <c r="H88" s="90">
        <v>0.52130577510579346</v>
      </c>
      <c r="I88" s="89">
        <v>0</v>
      </c>
      <c r="J88" s="91">
        <v>0</v>
      </c>
      <c r="K88" s="91">
        <v>0.40242535620540476</v>
      </c>
      <c r="L88" s="91">
        <v>0</v>
      </c>
      <c r="M88" s="90">
        <v>0</v>
      </c>
      <c r="N88" s="87"/>
      <c r="O88" s="67">
        <v>0.31235224048353311</v>
      </c>
      <c r="P88" s="68">
        <v>0.97045241092234646</v>
      </c>
      <c r="Q88" s="69">
        <v>1.2828046514058795</v>
      </c>
      <c r="R88" s="87"/>
      <c r="S88" s="67">
        <v>0.40242535620540476</v>
      </c>
      <c r="T88" s="69">
        <v>-0.68629256546242645</v>
      </c>
    </row>
    <row r="89" spans="1:20" ht="15.75" customHeight="1">
      <c r="A89" s="443"/>
      <c r="B89" s="484" t="s">
        <v>267</v>
      </c>
      <c r="C89" s="472" t="s">
        <v>223</v>
      </c>
      <c r="D89" s="88">
        <v>4.9104426124715959</v>
      </c>
      <c r="E89" s="89">
        <v>2.2113284084370353E-4</v>
      </c>
      <c r="F89" s="89">
        <v>2.7656303238399524</v>
      </c>
      <c r="G89" s="89">
        <v>0</v>
      </c>
      <c r="H89" s="90">
        <v>0</v>
      </c>
      <c r="I89" s="89">
        <v>0</v>
      </c>
      <c r="J89" s="91">
        <v>0</v>
      </c>
      <c r="K89" s="91">
        <v>0</v>
      </c>
      <c r="L89" s="91">
        <v>0</v>
      </c>
      <c r="M89" s="90">
        <v>0</v>
      </c>
      <c r="N89" s="87"/>
      <c r="O89" s="67">
        <v>7.6762940691523927</v>
      </c>
      <c r="P89" s="68">
        <v>0</v>
      </c>
      <c r="Q89" s="69">
        <v>7.6762940691523927</v>
      </c>
      <c r="R89" s="87"/>
      <c r="S89" s="67">
        <v>0</v>
      </c>
      <c r="T89" s="69">
        <v>-1</v>
      </c>
    </row>
    <row r="90" spans="1:20" ht="15.75" customHeight="1">
      <c r="A90" s="443"/>
      <c r="B90" s="485" t="s">
        <v>272</v>
      </c>
      <c r="C90" s="472" t="s">
        <v>223</v>
      </c>
      <c r="D90" s="67">
        <v>5.1700893804451482</v>
      </c>
      <c r="E90" s="136">
        <v>2.2113284084370353E-4</v>
      </c>
      <c r="F90" s="136">
        <v>2.8183357963499329</v>
      </c>
      <c r="G90" s="136">
        <v>0.44914663581655295</v>
      </c>
      <c r="H90" s="69">
        <v>0.52130577510579346</v>
      </c>
      <c r="I90" s="136">
        <v>0</v>
      </c>
      <c r="J90" s="68">
        <v>0</v>
      </c>
      <c r="K90" s="68">
        <v>0.40242535620540476</v>
      </c>
      <c r="L90" s="68">
        <v>0</v>
      </c>
      <c r="M90" s="69">
        <v>0</v>
      </c>
      <c r="N90" s="87"/>
      <c r="O90" s="67">
        <v>7.988646309635925</v>
      </c>
      <c r="P90" s="68">
        <v>0.97045241092234646</v>
      </c>
      <c r="Q90" s="69">
        <v>8.9590987205582699</v>
      </c>
      <c r="R90" s="87"/>
      <c r="S90" s="67">
        <v>0.40242535620540476</v>
      </c>
      <c r="T90" s="69">
        <v>-0.9550819375076236</v>
      </c>
    </row>
    <row r="91" spans="1:20" ht="15.75" customHeight="1">
      <c r="A91" s="443"/>
      <c r="B91" s="482" t="s">
        <v>273</v>
      </c>
      <c r="C91" s="486"/>
      <c r="D91" s="137"/>
      <c r="E91" s="138"/>
      <c r="F91" s="138"/>
      <c r="G91" s="138"/>
      <c r="H91" s="139"/>
      <c r="I91" s="138"/>
      <c r="J91" s="138"/>
      <c r="K91" s="138"/>
      <c r="L91" s="138"/>
      <c r="M91" s="139"/>
      <c r="N91" s="87"/>
      <c r="O91" s="137"/>
      <c r="P91" s="138"/>
      <c r="Q91" s="139"/>
      <c r="R91" s="87"/>
      <c r="S91" s="137"/>
      <c r="T91" s="139"/>
    </row>
    <row r="92" spans="1:20" ht="15.75" customHeight="1">
      <c r="A92" s="443"/>
      <c r="B92" s="484" t="s">
        <v>266</v>
      </c>
      <c r="C92" s="472" t="s">
        <v>223</v>
      </c>
      <c r="D92" s="88">
        <v>0</v>
      </c>
      <c r="E92" s="89">
        <v>0</v>
      </c>
      <c r="F92" s="89">
        <v>3.890764277761599E-5</v>
      </c>
      <c r="G92" s="89">
        <v>0</v>
      </c>
      <c r="H92" s="90">
        <v>0</v>
      </c>
      <c r="I92" s="89">
        <v>0</v>
      </c>
      <c r="J92" s="91">
        <v>0</v>
      </c>
      <c r="K92" s="91">
        <v>0</v>
      </c>
      <c r="L92" s="91">
        <v>0</v>
      </c>
      <c r="M92" s="90">
        <v>0</v>
      </c>
      <c r="N92" s="87"/>
      <c r="O92" s="67">
        <v>3.890764277761599E-5</v>
      </c>
      <c r="P92" s="68">
        <v>0</v>
      </c>
      <c r="Q92" s="69">
        <v>3.890764277761599E-5</v>
      </c>
      <c r="R92" s="87"/>
      <c r="S92" s="67">
        <v>0</v>
      </c>
      <c r="T92" s="69">
        <v>-1</v>
      </c>
    </row>
    <row r="93" spans="1:20" ht="15.75" customHeight="1">
      <c r="A93" s="443"/>
      <c r="B93" s="484" t="s">
        <v>267</v>
      </c>
      <c r="C93" s="472" t="s">
        <v>223</v>
      </c>
      <c r="D93" s="88">
        <v>4.7820627181228349E-2</v>
      </c>
      <c r="E93" s="89">
        <v>5.030843363427142E-2</v>
      </c>
      <c r="F93" s="89">
        <v>4.8352918617763517E-4</v>
      </c>
      <c r="G93" s="89">
        <v>0</v>
      </c>
      <c r="H93" s="90">
        <v>0</v>
      </c>
      <c r="I93" s="89">
        <v>0</v>
      </c>
      <c r="J93" s="91">
        <v>0</v>
      </c>
      <c r="K93" s="91">
        <v>0</v>
      </c>
      <c r="L93" s="91">
        <v>0</v>
      </c>
      <c r="M93" s="90">
        <v>0</v>
      </c>
      <c r="N93" s="87"/>
      <c r="O93" s="67">
        <v>9.8612590001677408E-2</v>
      </c>
      <c r="P93" s="68">
        <v>0</v>
      </c>
      <c r="Q93" s="69">
        <v>9.8612590001677408E-2</v>
      </c>
      <c r="R93" s="87"/>
      <c r="S93" s="67">
        <v>0</v>
      </c>
      <c r="T93" s="69">
        <v>-1</v>
      </c>
    </row>
    <row r="94" spans="1:20" ht="15.75" customHeight="1">
      <c r="A94" s="443"/>
      <c r="B94" s="485" t="s">
        <v>274</v>
      </c>
      <c r="C94" s="472" t="s">
        <v>223</v>
      </c>
      <c r="D94" s="67">
        <v>4.7820627181228349E-2</v>
      </c>
      <c r="E94" s="136">
        <v>5.030843363427142E-2</v>
      </c>
      <c r="F94" s="136">
        <v>5.2243682895525116E-4</v>
      </c>
      <c r="G94" s="136">
        <v>0</v>
      </c>
      <c r="H94" s="69">
        <v>0</v>
      </c>
      <c r="I94" s="136">
        <v>0</v>
      </c>
      <c r="J94" s="68">
        <v>0</v>
      </c>
      <c r="K94" s="68">
        <v>0</v>
      </c>
      <c r="L94" s="68">
        <v>0</v>
      </c>
      <c r="M94" s="69">
        <v>0</v>
      </c>
      <c r="N94" s="87"/>
      <c r="O94" s="67">
        <v>9.8651497644455022E-2</v>
      </c>
      <c r="P94" s="68">
        <v>0</v>
      </c>
      <c r="Q94" s="69">
        <v>9.8651497644455022E-2</v>
      </c>
      <c r="R94" s="87"/>
      <c r="S94" s="67">
        <v>0</v>
      </c>
      <c r="T94" s="69">
        <v>-1</v>
      </c>
    </row>
    <row r="95" spans="1:20" ht="15.75" customHeight="1">
      <c r="A95" s="443"/>
      <c r="B95" s="466"/>
      <c r="C95" s="472"/>
      <c r="D95" s="137"/>
      <c r="E95" s="138"/>
      <c r="F95" s="138"/>
      <c r="G95" s="138"/>
      <c r="H95" s="139"/>
      <c r="I95" s="138"/>
      <c r="J95" s="138"/>
      <c r="K95" s="138"/>
      <c r="L95" s="138"/>
      <c r="M95" s="139"/>
      <c r="N95" s="87"/>
      <c r="O95" s="137"/>
      <c r="P95" s="138"/>
      <c r="Q95" s="139"/>
      <c r="R95" s="87"/>
      <c r="S95" s="137"/>
      <c r="T95" s="139"/>
    </row>
    <row r="96" spans="1:20" ht="15.75" customHeight="1">
      <c r="A96" s="443"/>
      <c r="B96" s="466" t="s">
        <v>275</v>
      </c>
      <c r="C96" s="472" t="s">
        <v>223</v>
      </c>
      <c r="D96" s="141"/>
      <c r="E96" s="142"/>
      <c r="F96" s="142"/>
      <c r="G96" s="89">
        <v>0</v>
      </c>
      <c r="H96" s="90">
        <v>0</v>
      </c>
      <c r="I96" s="89">
        <v>0</v>
      </c>
      <c r="J96" s="91">
        <v>0</v>
      </c>
      <c r="K96" s="91">
        <v>0</v>
      </c>
      <c r="L96" s="91">
        <v>0</v>
      </c>
      <c r="M96" s="90">
        <v>0</v>
      </c>
      <c r="N96" s="87"/>
      <c r="O96" s="67">
        <v>0</v>
      </c>
      <c r="P96" s="68">
        <v>0</v>
      </c>
      <c r="Q96" s="69">
        <v>0</v>
      </c>
      <c r="R96" s="87"/>
      <c r="S96" s="67">
        <v>0</v>
      </c>
      <c r="T96" s="69" t="s">
        <v>1022</v>
      </c>
    </row>
    <row r="97" spans="1:20" ht="15.75" customHeight="1">
      <c r="A97" s="443"/>
      <c r="B97" s="466" t="s">
        <v>276</v>
      </c>
      <c r="C97" s="472" t="s">
        <v>223</v>
      </c>
      <c r="D97" s="75">
        <v>38.426038944430175</v>
      </c>
      <c r="E97" s="78">
        <v>55.69259182868781</v>
      </c>
      <c r="F97" s="78">
        <v>49.759269125714141</v>
      </c>
      <c r="G97" s="78">
        <v>33.220266811242979</v>
      </c>
      <c r="H97" s="77">
        <v>23.042104788233342</v>
      </c>
      <c r="I97" s="78">
        <v>22.228642679511978</v>
      </c>
      <c r="J97" s="76">
        <v>24.461244934269942</v>
      </c>
      <c r="K97" s="76">
        <v>27.058255321612496</v>
      </c>
      <c r="L97" s="76">
        <v>28.504107053351579</v>
      </c>
      <c r="M97" s="77">
        <v>37.593790806977935</v>
      </c>
      <c r="N97" s="101"/>
      <c r="O97" s="75">
        <v>143.87789989883214</v>
      </c>
      <c r="P97" s="76">
        <v>56.262371599476324</v>
      </c>
      <c r="Q97" s="77">
        <v>200.14027149830846</v>
      </c>
      <c r="R97" s="101"/>
      <c r="S97" s="75">
        <v>139.84604079572392</v>
      </c>
      <c r="T97" s="77">
        <v>-0.30125986265135118</v>
      </c>
    </row>
    <row r="98" spans="1:20" ht="15.75" customHeight="1">
      <c r="A98" s="443"/>
      <c r="B98" s="466"/>
      <c r="C98" s="472"/>
      <c r="D98" s="137"/>
      <c r="E98" s="138"/>
      <c r="F98" s="138"/>
      <c r="G98" s="138"/>
      <c r="H98" s="139"/>
      <c r="I98" s="138"/>
      <c r="J98" s="138"/>
      <c r="K98" s="138"/>
      <c r="L98" s="138"/>
      <c r="M98" s="139"/>
      <c r="N98" s="87"/>
      <c r="O98" s="137"/>
      <c r="P98" s="138"/>
      <c r="Q98" s="139"/>
      <c r="R98" s="87"/>
      <c r="S98" s="137"/>
      <c r="T98" s="139"/>
    </row>
    <row r="99" spans="1:20" ht="15.75" customHeight="1">
      <c r="A99" s="443"/>
      <c r="B99" s="466" t="s">
        <v>277</v>
      </c>
      <c r="C99" s="462" t="s">
        <v>223</v>
      </c>
      <c r="D99" s="141"/>
      <c r="E99" s="142"/>
      <c r="F99" s="142"/>
      <c r="G99" s="89">
        <v>0</v>
      </c>
      <c r="H99" s="90">
        <v>0</v>
      </c>
      <c r="I99" s="89">
        <v>0</v>
      </c>
      <c r="J99" s="91">
        <v>0</v>
      </c>
      <c r="K99" s="91">
        <v>0</v>
      </c>
      <c r="L99" s="91">
        <v>0</v>
      </c>
      <c r="M99" s="90">
        <v>0</v>
      </c>
      <c r="N99" s="87"/>
      <c r="O99" s="67">
        <v>0</v>
      </c>
      <c r="P99" s="68">
        <v>0</v>
      </c>
      <c r="Q99" s="69">
        <v>0</v>
      </c>
      <c r="R99" s="87"/>
      <c r="S99" s="67">
        <v>0</v>
      </c>
      <c r="T99" s="69" t="s">
        <v>1022</v>
      </c>
    </row>
    <row r="100" spans="1:20" ht="15.75" customHeight="1" thickBot="1">
      <c r="A100" s="443"/>
      <c r="B100" s="468" t="s">
        <v>278</v>
      </c>
      <c r="C100" s="475" t="s">
        <v>223</v>
      </c>
      <c r="D100" s="143"/>
      <c r="E100" s="144"/>
      <c r="F100" s="144"/>
      <c r="G100" s="145">
        <v>0</v>
      </c>
      <c r="H100" s="146">
        <v>0</v>
      </c>
      <c r="I100" s="145">
        <v>0</v>
      </c>
      <c r="J100" s="147">
        <v>0</v>
      </c>
      <c r="K100" s="147">
        <v>0</v>
      </c>
      <c r="L100" s="147">
        <v>0</v>
      </c>
      <c r="M100" s="146">
        <v>0</v>
      </c>
      <c r="N100" s="87"/>
      <c r="O100" s="83">
        <v>0</v>
      </c>
      <c r="P100" s="84">
        <v>0</v>
      </c>
      <c r="Q100" s="85">
        <v>0</v>
      </c>
      <c r="R100" s="87"/>
      <c r="S100" s="83">
        <v>0</v>
      </c>
      <c r="T100" s="85" t="s">
        <v>1022</v>
      </c>
    </row>
    <row r="101" spans="1:20">
      <c r="A101" s="443"/>
      <c r="B101" s="443"/>
      <c r="C101" s="443"/>
      <c r="D101" s="148"/>
      <c r="E101" s="148"/>
      <c r="F101" s="148"/>
      <c r="G101" s="148"/>
      <c r="H101" s="148"/>
      <c r="I101" s="148"/>
      <c r="J101" s="148"/>
      <c r="K101" s="148"/>
      <c r="L101" s="148"/>
      <c r="M101" s="148"/>
      <c r="N101" s="148"/>
      <c r="O101" s="148"/>
      <c r="P101" s="148"/>
      <c r="Q101" s="148"/>
      <c r="R101" s="148"/>
      <c r="S101" s="148"/>
      <c r="T101" s="148"/>
    </row>
    <row r="102" spans="1:20">
      <c r="A102" s="443"/>
      <c r="B102" s="443"/>
      <c r="C102" s="444"/>
      <c r="D102" s="102"/>
      <c r="E102" s="102"/>
      <c r="F102" s="102"/>
      <c r="G102" s="102"/>
      <c r="H102" s="102"/>
      <c r="I102" s="102"/>
      <c r="J102" s="102"/>
      <c r="K102" s="102"/>
      <c r="L102" s="102"/>
      <c r="M102" s="102"/>
      <c r="N102" s="87"/>
      <c r="O102" s="102"/>
      <c r="P102" s="102"/>
      <c r="Q102" s="102"/>
      <c r="R102" s="87"/>
      <c r="S102" s="102"/>
      <c r="T102" s="102"/>
    </row>
    <row r="103" spans="1:20" s="442" customFormat="1" ht="15.75" customHeight="1">
      <c r="A103" s="439"/>
      <c r="B103" s="440" t="s">
        <v>279</v>
      </c>
      <c r="C103" s="441"/>
      <c r="D103" s="102"/>
      <c r="E103" s="102"/>
      <c r="F103" s="102"/>
      <c r="G103" s="102"/>
      <c r="H103" s="102"/>
      <c r="I103" s="102"/>
      <c r="J103" s="102"/>
      <c r="K103" s="102"/>
      <c r="L103" s="102"/>
      <c r="M103" s="102"/>
      <c r="N103" s="102"/>
      <c r="O103" s="66"/>
      <c r="P103" s="66"/>
      <c r="Q103" s="66"/>
      <c r="R103" s="70"/>
      <c r="S103" s="102"/>
      <c r="T103" s="102"/>
    </row>
    <row r="104" spans="1:20" ht="13.5" thickBot="1">
      <c r="A104" s="443"/>
      <c r="B104" s="458"/>
      <c r="C104" s="479"/>
      <c r="D104" s="123"/>
      <c r="E104" s="123"/>
      <c r="F104" s="123"/>
      <c r="G104" s="123"/>
      <c r="H104" s="123"/>
      <c r="I104" s="123"/>
      <c r="J104" s="123"/>
      <c r="K104" s="123"/>
      <c r="L104" s="123"/>
      <c r="M104" s="123"/>
      <c r="N104" s="87"/>
      <c r="O104" s="123"/>
      <c r="P104" s="123"/>
      <c r="Q104" s="123"/>
      <c r="R104" s="87"/>
      <c r="S104" s="123"/>
      <c r="T104" s="123"/>
    </row>
    <row r="105" spans="1:20" ht="15.75" customHeight="1">
      <c r="A105" s="443"/>
      <c r="B105" s="1882" t="s">
        <v>279</v>
      </c>
      <c r="C105" s="1884" t="s">
        <v>210</v>
      </c>
      <c r="D105" s="103" t="s">
        <v>211</v>
      </c>
      <c r="E105" s="104"/>
      <c r="F105" s="104"/>
      <c r="G105" s="104"/>
      <c r="H105" s="105"/>
      <c r="I105" s="104" t="s">
        <v>212</v>
      </c>
      <c r="J105" s="106"/>
      <c r="K105" s="106"/>
      <c r="L105" s="106"/>
      <c r="M105" s="105"/>
      <c r="N105" s="87"/>
      <c r="O105" s="124" t="s">
        <v>211</v>
      </c>
      <c r="P105" s="125"/>
      <c r="Q105" s="126"/>
      <c r="R105" s="87"/>
      <c r="S105" s="124" t="s">
        <v>212</v>
      </c>
      <c r="T105" s="126"/>
    </row>
    <row r="106" spans="1:20" ht="25.5">
      <c r="A106" s="443"/>
      <c r="B106" s="1883"/>
      <c r="C106" s="1885"/>
      <c r="D106" s="107" t="s">
        <v>99</v>
      </c>
      <c r="E106" s="108" t="s">
        <v>100</v>
      </c>
      <c r="F106" s="108" t="s">
        <v>101</v>
      </c>
      <c r="G106" s="108" t="s">
        <v>102</v>
      </c>
      <c r="H106" s="109" t="s">
        <v>64</v>
      </c>
      <c r="I106" s="110" t="s">
        <v>213</v>
      </c>
      <c r="J106" s="108" t="s">
        <v>214</v>
      </c>
      <c r="K106" s="108" t="s">
        <v>215</v>
      </c>
      <c r="L106" s="108" t="s">
        <v>216</v>
      </c>
      <c r="M106" s="109" t="s">
        <v>217</v>
      </c>
      <c r="N106" s="87"/>
      <c r="O106" s="127" t="s">
        <v>218</v>
      </c>
      <c r="P106" s="128" t="s">
        <v>219</v>
      </c>
      <c r="Q106" s="129" t="s">
        <v>220</v>
      </c>
      <c r="R106" s="87"/>
      <c r="S106" s="127" t="s">
        <v>219</v>
      </c>
      <c r="T106" s="129" t="s">
        <v>221</v>
      </c>
    </row>
    <row r="107" spans="1:20" ht="15.75" customHeight="1">
      <c r="A107" s="443"/>
      <c r="B107" s="487" t="s">
        <v>280</v>
      </c>
      <c r="C107" s="483"/>
      <c r="D107" s="130"/>
      <c r="E107" s="131"/>
      <c r="F107" s="131"/>
      <c r="G107" s="131"/>
      <c r="H107" s="132"/>
      <c r="I107" s="131"/>
      <c r="J107" s="131"/>
      <c r="K107" s="131"/>
      <c r="L107" s="131"/>
      <c r="M107" s="132"/>
      <c r="N107" s="87"/>
      <c r="O107" s="133"/>
      <c r="P107" s="134"/>
      <c r="Q107" s="135"/>
      <c r="R107" s="87"/>
      <c r="S107" s="130"/>
      <c r="T107" s="132"/>
    </row>
    <row r="108" spans="1:20" ht="15.75" customHeight="1">
      <c r="A108" s="443"/>
      <c r="B108" s="488" t="s">
        <v>266</v>
      </c>
      <c r="C108" s="472" t="s">
        <v>223</v>
      </c>
      <c r="D108" s="88">
        <v>15.772060156885155</v>
      </c>
      <c r="E108" s="89">
        <v>33.79843161198567</v>
      </c>
      <c r="F108" s="89">
        <v>35.553995982514643</v>
      </c>
      <c r="G108" s="89">
        <v>19.624646200758654</v>
      </c>
      <c r="H108" s="90">
        <v>10.900562912045583</v>
      </c>
      <c r="I108" s="89">
        <v>13.621856530842274</v>
      </c>
      <c r="J108" s="91">
        <v>13.292992166817235</v>
      </c>
      <c r="K108" s="91">
        <v>14.951223304686021</v>
      </c>
      <c r="L108" s="91">
        <v>17.470737500005487</v>
      </c>
      <c r="M108" s="90">
        <v>20.830093684667446</v>
      </c>
      <c r="N108" s="87"/>
      <c r="O108" s="67">
        <v>85.124487751385459</v>
      </c>
      <c r="P108" s="68">
        <v>30.525209112804237</v>
      </c>
      <c r="Q108" s="69">
        <v>115.64969686418971</v>
      </c>
      <c r="R108" s="87"/>
      <c r="S108" s="67">
        <v>80.166903187018463</v>
      </c>
      <c r="T108" s="69">
        <v>-0.30681268208458484</v>
      </c>
    </row>
    <row r="109" spans="1:20" ht="15.75" customHeight="1">
      <c r="A109" s="443"/>
      <c r="B109" s="488" t="s">
        <v>281</v>
      </c>
      <c r="C109" s="472" t="s">
        <v>223</v>
      </c>
      <c r="D109" s="88">
        <v>1.18032059290747</v>
      </c>
      <c r="E109" s="89">
        <v>1.3498687297470289</v>
      </c>
      <c r="F109" s="89">
        <v>0.53585969511481191</v>
      </c>
      <c r="G109" s="89">
        <v>1.0332940686954539</v>
      </c>
      <c r="H109" s="90">
        <v>2.4858627269697382</v>
      </c>
      <c r="I109" s="89">
        <v>1.664324161497821</v>
      </c>
      <c r="J109" s="91">
        <v>1.6587342388903066</v>
      </c>
      <c r="K109" s="91">
        <v>1.9131410269982572</v>
      </c>
      <c r="L109" s="91">
        <v>2.2001204010758126</v>
      </c>
      <c r="M109" s="90">
        <v>2.4757849263958747</v>
      </c>
      <c r="N109" s="87"/>
      <c r="O109" s="67">
        <v>3.0660490177693105</v>
      </c>
      <c r="P109" s="68">
        <v>3.5191567956651921</v>
      </c>
      <c r="Q109" s="69">
        <v>6.5852058134345022</v>
      </c>
      <c r="R109" s="87"/>
      <c r="S109" s="67">
        <v>9.9121047548580723</v>
      </c>
      <c r="T109" s="69">
        <v>0.50520804294929578</v>
      </c>
    </row>
    <row r="110" spans="1:20" ht="15.75" customHeight="1">
      <c r="A110" s="443"/>
      <c r="B110" s="489" t="s">
        <v>268</v>
      </c>
      <c r="C110" s="472" t="s">
        <v>223</v>
      </c>
      <c r="D110" s="67">
        <v>16.952380749792624</v>
      </c>
      <c r="E110" s="136">
        <v>35.1483003417327</v>
      </c>
      <c r="F110" s="136">
        <v>36.089855677629451</v>
      </c>
      <c r="G110" s="136">
        <v>20.657940269454109</v>
      </c>
      <c r="H110" s="69">
        <v>13.386425639015322</v>
      </c>
      <c r="I110" s="136">
        <v>15.286180692340096</v>
      </c>
      <c r="J110" s="68">
        <v>14.951726405707543</v>
      </c>
      <c r="K110" s="68">
        <v>16.864364331684278</v>
      </c>
      <c r="L110" s="68">
        <v>19.670857901081298</v>
      </c>
      <c r="M110" s="69">
        <v>23.305878611063321</v>
      </c>
      <c r="N110" s="87"/>
      <c r="O110" s="67">
        <v>88.190536769154775</v>
      </c>
      <c r="P110" s="68">
        <v>34.04436590846943</v>
      </c>
      <c r="Q110" s="69">
        <v>122.23490267762421</v>
      </c>
      <c r="R110" s="87"/>
      <c r="S110" s="67">
        <v>90.07900794187654</v>
      </c>
      <c r="T110" s="69">
        <v>-0.2630663912790433</v>
      </c>
    </row>
    <row r="111" spans="1:20" ht="15.75" customHeight="1">
      <c r="A111" s="443"/>
      <c r="B111" s="487" t="s">
        <v>282</v>
      </c>
      <c r="C111" s="486"/>
      <c r="D111" s="137"/>
      <c r="E111" s="138"/>
      <c r="F111" s="138"/>
      <c r="G111" s="138"/>
      <c r="H111" s="139"/>
      <c r="I111" s="138"/>
      <c r="J111" s="138"/>
      <c r="K111" s="138"/>
      <c r="L111" s="138"/>
      <c r="M111" s="139"/>
      <c r="N111" s="87"/>
      <c r="O111" s="140"/>
      <c r="P111" s="138"/>
      <c r="Q111" s="139"/>
      <c r="R111" s="87"/>
      <c r="S111" s="137"/>
      <c r="T111" s="139"/>
    </row>
    <row r="112" spans="1:20" ht="15.75" customHeight="1">
      <c r="A112" s="443"/>
      <c r="B112" s="488" t="s">
        <v>266</v>
      </c>
      <c r="C112" s="472" t="s">
        <v>223</v>
      </c>
      <c r="D112" s="88">
        <v>6.3785148934269058</v>
      </c>
      <c r="E112" s="89">
        <v>9.8108668583574179</v>
      </c>
      <c r="F112" s="89">
        <v>7.6500909176014043</v>
      </c>
      <c r="G112" s="89">
        <v>1.3235070931529838</v>
      </c>
      <c r="H112" s="90">
        <v>0.69452659081332013</v>
      </c>
      <c r="I112" s="89">
        <v>1.251485732675562</v>
      </c>
      <c r="J112" s="91">
        <v>1.0828062136924006</v>
      </c>
      <c r="K112" s="91">
        <v>0.90045585325354138</v>
      </c>
      <c r="L112" s="91">
        <v>1.5311742633137031</v>
      </c>
      <c r="M112" s="90">
        <v>2.1262199324559163</v>
      </c>
      <c r="N112" s="87"/>
      <c r="O112" s="67">
        <v>23.839472669385728</v>
      </c>
      <c r="P112" s="68">
        <v>2.018033683966304</v>
      </c>
      <c r="Q112" s="69">
        <v>25.857506353352033</v>
      </c>
      <c r="R112" s="87"/>
      <c r="S112" s="67">
        <v>6.8921419953911229</v>
      </c>
      <c r="T112" s="69">
        <v>-0.73345681902935456</v>
      </c>
    </row>
    <row r="113" spans="1:20" ht="15.75" customHeight="1">
      <c r="A113" s="443"/>
      <c r="B113" s="488" t="s">
        <v>281</v>
      </c>
      <c r="C113" s="472" t="s">
        <v>223</v>
      </c>
      <c r="D113" s="88">
        <v>2.345292848051558</v>
      </c>
      <c r="E113" s="89">
        <v>2.7987488098096032</v>
      </c>
      <c r="F113" s="89">
        <v>4.1784533842165317</v>
      </c>
      <c r="G113" s="89">
        <v>0.59622500785396837</v>
      </c>
      <c r="H113" s="90">
        <v>1.2668494764425136</v>
      </c>
      <c r="I113" s="89">
        <v>0.88111279138119913</v>
      </c>
      <c r="J113" s="91">
        <v>0.87815342058898582</v>
      </c>
      <c r="K113" s="91">
        <v>1.0128393672343714</v>
      </c>
      <c r="L113" s="91">
        <v>1.1647696240989591</v>
      </c>
      <c r="M113" s="90">
        <v>1.3107096669154628</v>
      </c>
      <c r="N113" s="87"/>
      <c r="O113" s="67">
        <v>9.3224950420776924</v>
      </c>
      <c r="P113" s="68">
        <v>1.8630744842964819</v>
      </c>
      <c r="Q113" s="69">
        <v>11.185569526374174</v>
      </c>
      <c r="R113" s="87"/>
      <c r="S113" s="67">
        <v>5.2475848702189776</v>
      </c>
      <c r="T113" s="69">
        <v>-0.53086118164606377</v>
      </c>
    </row>
    <row r="114" spans="1:20" ht="15.75" customHeight="1">
      <c r="A114" s="443"/>
      <c r="B114" s="489" t="s">
        <v>270</v>
      </c>
      <c r="C114" s="472" t="s">
        <v>223</v>
      </c>
      <c r="D114" s="67">
        <v>8.7238077414784634</v>
      </c>
      <c r="E114" s="136">
        <v>12.60961566816702</v>
      </c>
      <c r="F114" s="136">
        <v>11.828544301817935</v>
      </c>
      <c r="G114" s="136">
        <v>1.9197321010069521</v>
      </c>
      <c r="H114" s="69">
        <v>1.9613760672558338</v>
      </c>
      <c r="I114" s="136">
        <v>2.1325985240567613</v>
      </c>
      <c r="J114" s="68">
        <v>1.9609596342813864</v>
      </c>
      <c r="K114" s="68">
        <v>1.9132952204879128</v>
      </c>
      <c r="L114" s="68">
        <v>2.6959438874126622</v>
      </c>
      <c r="M114" s="69">
        <v>3.4369295993713793</v>
      </c>
      <c r="N114" s="87"/>
      <c r="O114" s="67">
        <v>33.161967711463419</v>
      </c>
      <c r="P114" s="68">
        <v>3.8811081682627862</v>
      </c>
      <c r="Q114" s="69">
        <v>37.043075879726203</v>
      </c>
      <c r="R114" s="87"/>
      <c r="S114" s="67">
        <v>12.139726865610101</v>
      </c>
      <c r="T114" s="69">
        <v>-0.67228080883385244</v>
      </c>
    </row>
    <row r="115" spans="1:20" ht="15.75" customHeight="1">
      <c r="A115" s="443"/>
      <c r="B115" s="487" t="s">
        <v>283</v>
      </c>
      <c r="C115" s="486"/>
      <c r="D115" s="137"/>
      <c r="E115" s="138"/>
      <c r="F115" s="138"/>
      <c r="G115" s="138"/>
      <c r="H115" s="139"/>
      <c r="I115" s="138"/>
      <c r="J115" s="138"/>
      <c r="K115" s="138"/>
      <c r="L115" s="138"/>
      <c r="M115" s="139"/>
      <c r="N115" s="87"/>
      <c r="O115" s="137"/>
      <c r="P115" s="138"/>
      <c r="Q115" s="139"/>
      <c r="R115" s="87"/>
      <c r="S115" s="137"/>
      <c r="T115" s="139"/>
    </row>
    <row r="116" spans="1:20" ht="15.75" customHeight="1">
      <c r="A116" s="443"/>
      <c r="B116" s="488" t="s">
        <v>266</v>
      </c>
      <c r="C116" s="472" t="s">
        <v>223</v>
      </c>
      <c r="D116" s="88">
        <v>0.19880365795599947</v>
      </c>
      <c r="E116" s="89">
        <v>0</v>
      </c>
      <c r="F116" s="89">
        <v>6.0293399200937757E-2</v>
      </c>
      <c r="G116" s="89">
        <v>0.43804285419369648</v>
      </c>
      <c r="H116" s="90">
        <v>0.51483163945835209</v>
      </c>
      <c r="I116" s="89">
        <v>0</v>
      </c>
      <c r="J116" s="91">
        <v>0</v>
      </c>
      <c r="K116" s="91">
        <v>0.39429303150752476</v>
      </c>
      <c r="L116" s="91">
        <v>0</v>
      </c>
      <c r="M116" s="90">
        <v>0</v>
      </c>
      <c r="N116" s="87"/>
      <c r="O116" s="67">
        <v>0.2590970571569372</v>
      </c>
      <c r="P116" s="68">
        <v>0.95287449365204857</v>
      </c>
      <c r="Q116" s="69">
        <v>1.2119715508089857</v>
      </c>
      <c r="R116" s="87"/>
      <c r="S116" s="67">
        <v>0.39429303150752476</v>
      </c>
      <c r="T116" s="69">
        <v>-0.67466808008460599</v>
      </c>
    </row>
    <row r="117" spans="1:20" ht="15.75" customHeight="1">
      <c r="A117" s="443"/>
      <c r="B117" s="488" t="s">
        <v>281</v>
      </c>
      <c r="C117" s="472" t="s">
        <v>223</v>
      </c>
      <c r="D117" s="88">
        <v>4.0414704032537072</v>
      </c>
      <c r="E117" s="89">
        <v>0</v>
      </c>
      <c r="F117" s="89">
        <v>1.4449510997272597</v>
      </c>
      <c r="G117" s="89">
        <v>0</v>
      </c>
      <c r="H117" s="90">
        <v>0</v>
      </c>
      <c r="I117" s="89">
        <v>0</v>
      </c>
      <c r="J117" s="91">
        <v>0</v>
      </c>
      <c r="K117" s="91">
        <v>0</v>
      </c>
      <c r="L117" s="91">
        <v>0</v>
      </c>
      <c r="M117" s="90">
        <v>0</v>
      </c>
      <c r="N117" s="87"/>
      <c r="O117" s="67">
        <v>5.4864215029809671</v>
      </c>
      <c r="P117" s="68">
        <v>0</v>
      </c>
      <c r="Q117" s="69">
        <v>5.4864215029809671</v>
      </c>
      <c r="R117" s="87"/>
      <c r="S117" s="67">
        <v>0</v>
      </c>
      <c r="T117" s="69">
        <v>-1</v>
      </c>
    </row>
    <row r="118" spans="1:20" ht="15.75" customHeight="1">
      <c r="A118" s="443"/>
      <c r="B118" s="489" t="s">
        <v>272</v>
      </c>
      <c r="C118" s="472" t="s">
        <v>223</v>
      </c>
      <c r="D118" s="67">
        <v>4.240274061209707</v>
      </c>
      <c r="E118" s="136">
        <v>0</v>
      </c>
      <c r="F118" s="136">
        <v>1.5052444989281974</v>
      </c>
      <c r="G118" s="136">
        <v>0.43804285419369648</v>
      </c>
      <c r="H118" s="69">
        <v>0.51483163945835209</v>
      </c>
      <c r="I118" s="136">
        <v>0</v>
      </c>
      <c r="J118" s="68">
        <v>0</v>
      </c>
      <c r="K118" s="68">
        <v>0.39429303150752476</v>
      </c>
      <c r="L118" s="68">
        <v>0</v>
      </c>
      <c r="M118" s="69">
        <v>0</v>
      </c>
      <c r="N118" s="87"/>
      <c r="O118" s="67">
        <v>5.7455185601379046</v>
      </c>
      <c r="P118" s="68">
        <v>0.95287449365204857</v>
      </c>
      <c r="Q118" s="69">
        <v>6.6983930537899532</v>
      </c>
      <c r="R118" s="87"/>
      <c r="S118" s="67">
        <v>0.39429303150752476</v>
      </c>
      <c r="T118" s="69">
        <v>-0.94113617574525077</v>
      </c>
    </row>
    <row r="119" spans="1:20" ht="15.75" customHeight="1">
      <c r="A119" s="443"/>
      <c r="B119" s="487" t="s">
        <v>284</v>
      </c>
      <c r="C119" s="486"/>
      <c r="D119" s="137"/>
      <c r="E119" s="138"/>
      <c r="F119" s="138"/>
      <c r="G119" s="138"/>
      <c r="H119" s="139"/>
      <c r="I119" s="138"/>
      <c r="J119" s="138"/>
      <c r="K119" s="138"/>
      <c r="L119" s="138"/>
      <c r="M119" s="139"/>
      <c r="N119" s="87"/>
      <c r="O119" s="137"/>
      <c r="P119" s="138"/>
      <c r="Q119" s="139"/>
      <c r="R119" s="87"/>
      <c r="S119" s="137"/>
      <c r="T119" s="139"/>
    </row>
    <row r="120" spans="1:20" ht="15.75" customHeight="1">
      <c r="A120" s="443"/>
      <c r="B120" s="488" t="s">
        <v>266</v>
      </c>
      <c r="C120" s="472" t="s">
        <v>223</v>
      </c>
      <c r="D120" s="88">
        <v>0</v>
      </c>
      <c r="E120" s="89">
        <v>0</v>
      </c>
      <c r="F120" s="89">
        <v>5.1622446416587984E-6</v>
      </c>
      <c r="G120" s="89">
        <v>0</v>
      </c>
      <c r="H120" s="90">
        <v>0</v>
      </c>
      <c r="I120" s="89">
        <v>0</v>
      </c>
      <c r="J120" s="91">
        <v>0</v>
      </c>
      <c r="K120" s="91">
        <v>0</v>
      </c>
      <c r="L120" s="91">
        <v>0</v>
      </c>
      <c r="M120" s="90">
        <v>0</v>
      </c>
      <c r="N120" s="87"/>
      <c r="O120" s="67">
        <v>5.1622446416587984E-6</v>
      </c>
      <c r="P120" s="68">
        <v>0</v>
      </c>
      <c r="Q120" s="69">
        <v>5.1622446416587984E-6</v>
      </c>
      <c r="R120" s="87"/>
      <c r="S120" s="67">
        <v>0</v>
      </c>
      <c r="T120" s="69">
        <v>-1</v>
      </c>
    </row>
    <row r="121" spans="1:20" ht="15.75" customHeight="1">
      <c r="A121" s="443"/>
      <c r="B121" s="488" t="s">
        <v>281</v>
      </c>
      <c r="C121" s="472" t="s">
        <v>223</v>
      </c>
      <c r="D121" s="88">
        <v>3.9358091453325618E-2</v>
      </c>
      <c r="E121" s="89">
        <v>3.0806764085277865E-2</v>
      </c>
      <c r="F121" s="89">
        <v>2.7764806951641664E-5</v>
      </c>
      <c r="G121" s="89">
        <v>0</v>
      </c>
      <c r="H121" s="90">
        <v>0</v>
      </c>
      <c r="I121" s="89">
        <v>0</v>
      </c>
      <c r="J121" s="91">
        <v>0</v>
      </c>
      <c r="K121" s="91">
        <v>0</v>
      </c>
      <c r="L121" s="91">
        <v>0</v>
      </c>
      <c r="M121" s="90">
        <v>0</v>
      </c>
      <c r="N121" s="87"/>
      <c r="O121" s="67">
        <v>7.0192620345555123E-2</v>
      </c>
      <c r="P121" s="68">
        <v>0</v>
      </c>
      <c r="Q121" s="69">
        <v>7.0192620345555123E-2</v>
      </c>
      <c r="R121" s="87"/>
      <c r="S121" s="67">
        <v>0</v>
      </c>
      <c r="T121" s="69">
        <v>-1</v>
      </c>
    </row>
    <row r="122" spans="1:20" ht="15.75" customHeight="1">
      <c r="A122" s="443"/>
      <c r="B122" s="489" t="s">
        <v>274</v>
      </c>
      <c r="C122" s="472" t="s">
        <v>223</v>
      </c>
      <c r="D122" s="67">
        <v>3.9358091453325618E-2</v>
      </c>
      <c r="E122" s="136">
        <v>3.0806764085277865E-2</v>
      </c>
      <c r="F122" s="136">
        <v>3.2927051593300465E-5</v>
      </c>
      <c r="G122" s="136">
        <v>0</v>
      </c>
      <c r="H122" s="69">
        <v>0</v>
      </c>
      <c r="I122" s="136">
        <v>0</v>
      </c>
      <c r="J122" s="68">
        <v>0</v>
      </c>
      <c r="K122" s="68">
        <v>0</v>
      </c>
      <c r="L122" s="68">
        <v>0</v>
      </c>
      <c r="M122" s="69">
        <v>0</v>
      </c>
      <c r="N122" s="87"/>
      <c r="O122" s="67">
        <v>7.0197782590196781E-2</v>
      </c>
      <c r="P122" s="68">
        <v>0</v>
      </c>
      <c r="Q122" s="69">
        <v>7.0197782590196781E-2</v>
      </c>
      <c r="R122" s="87"/>
      <c r="S122" s="67">
        <v>0</v>
      </c>
      <c r="T122" s="69">
        <v>-1</v>
      </c>
    </row>
    <row r="123" spans="1:20" ht="15.75" customHeight="1">
      <c r="A123" s="443"/>
      <c r="B123" s="485"/>
      <c r="C123" s="472"/>
      <c r="D123" s="137"/>
      <c r="E123" s="138"/>
      <c r="F123" s="138"/>
      <c r="G123" s="138"/>
      <c r="H123" s="139"/>
      <c r="I123" s="138"/>
      <c r="J123" s="138"/>
      <c r="K123" s="138"/>
      <c r="L123" s="138"/>
      <c r="M123" s="139"/>
      <c r="N123" s="87"/>
      <c r="O123" s="137"/>
      <c r="P123" s="138"/>
      <c r="Q123" s="139"/>
      <c r="R123" s="87"/>
      <c r="S123" s="137"/>
      <c r="T123" s="139"/>
    </row>
    <row r="124" spans="1:20" ht="15.75" customHeight="1">
      <c r="A124" s="443"/>
      <c r="B124" s="487" t="s">
        <v>285</v>
      </c>
      <c r="C124" s="462" t="s">
        <v>223</v>
      </c>
      <c r="D124" s="78">
        <v>29.955820643934121</v>
      </c>
      <c r="E124" s="78">
        <v>47.788722773984993</v>
      </c>
      <c r="F124" s="78">
        <v>49.423677405427178</v>
      </c>
      <c r="G124" s="78">
        <v>23.015715224654759</v>
      </c>
      <c r="H124" s="77">
        <v>15.862633345729508</v>
      </c>
      <c r="I124" s="78">
        <v>17.418779216396857</v>
      </c>
      <c r="J124" s="76">
        <v>16.91268603998893</v>
      </c>
      <c r="K124" s="76">
        <v>19.171952583679715</v>
      </c>
      <c r="L124" s="76">
        <v>22.366801788493959</v>
      </c>
      <c r="M124" s="77">
        <v>26.742808210434699</v>
      </c>
      <c r="N124" s="101"/>
      <c r="O124" s="75">
        <v>127.1682208233463</v>
      </c>
      <c r="P124" s="76">
        <v>38.878348570384269</v>
      </c>
      <c r="Q124" s="77">
        <v>166.04656939373058</v>
      </c>
      <c r="R124" s="101"/>
      <c r="S124" s="75">
        <v>102.61302783899416</v>
      </c>
      <c r="T124" s="77">
        <v>-0.38202259634959662</v>
      </c>
    </row>
    <row r="125" spans="1:20" ht="15.75" customHeight="1">
      <c r="A125" s="443"/>
      <c r="B125" s="487" t="s">
        <v>286</v>
      </c>
      <c r="C125" s="462" t="s">
        <v>223</v>
      </c>
      <c r="D125" s="88">
        <v>7.4987479833711568</v>
      </c>
      <c r="E125" s="89">
        <v>11.452793348750376</v>
      </c>
      <c r="F125" s="89">
        <v>11.650031274572823</v>
      </c>
      <c r="G125" s="89">
        <v>8.4227160046749869</v>
      </c>
      <c r="H125" s="90">
        <v>8.8424535486577103</v>
      </c>
      <c r="I125" s="89">
        <v>8.6106175325311103</v>
      </c>
      <c r="J125" s="91">
        <v>8.6205507062049378</v>
      </c>
      <c r="K125" s="91">
        <v>8.708820344423378</v>
      </c>
      <c r="L125" s="91">
        <v>8.7358374154946432</v>
      </c>
      <c r="M125" s="90">
        <v>8.6966220009896702</v>
      </c>
      <c r="N125" s="101"/>
      <c r="O125" s="75">
        <v>30.601572606694354</v>
      </c>
      <c r="P125" s="76">
        <v>17.265169553332697</v>
      </c>
      <c r="Q125" s="77">
        <v>47.866742160027052</v>
      </c>
      <c r="R125" s="101"/>
      <c r="S125" s="75">
        <v>43.37244799964374</v>
      </c>
      <c r="T125" s="77">
        <v>-9.3891791201458533E-2</v>
      </c>
    </row>
    <row r="126" spans="1:20" ht="15.75" customHeight="1">
      <c r="A126" s="443"/>
      <c r="B126" s="487" t="s">
        <v>287</v>
      </c>
      <c r="C126" s="462" t="s">
        <v>223</v>
      </c>
      <c r="D126" s="75">
        <v>37.454568627305278</v>
      </c>
      <c r="E126" s="78">
        <v>59.241516122735369</v>
      </c>
      <c r="F126" s="78">
        <v>61.073708680000003</v>
      </c>
      <c r="G126" s="78">
        <v>31.438431229329744</v>
      </c>
      <c r="H126" s="77">
        <v>24.705086894387218</v>
      </c>
      <c r="I126" s="78">
        <v>26.029396748927965</v>
      </c>
      <c r="J126" s="76">
        <v>25.533236746193868</v>
      </c>
      <c r="K126" s="76">
        <v>27.880772928103092</v>
      </c>
      <c r="L126" s="76">
        <v>31.102639203988602</v>
      </c>
      <c r="M126" s="77">
        <v>35.439430211424366</v>
      </c>
      <c r="N126" s="101"/>
      <c r="O126" s="75">
        <v>157.76979343004066</v>
      </c>
      <c r="P126" s="76">
        <v>56.143518123716959</v>
      </c>
      <c r="Q126" s="77">
        <v>213.91331155375764</v>
      </c>
      <c r="R126" s="101"/>
      <c r="S126" s="75">
        <v>145.98547583863791</v>
      </c>
      <c r="T126" s="77">
        <v>-0.31754842754631041</v>
      </c>
    </row>
    <row r="127" spans="1:20" ht="15.75" customHeight="1">
      <c r="A127" s="443"/>
      <c r="B127" s="487"/>
      <c r="C127" s="465"/>
      <c r="D127" s="133"/>
      <c r="E127" s="134"/>
      <c r="F127" s="134"/>
      <c r="G127" s="134"/>
      <c r="H127" s="135"/>
      <c r="I127" s="134"/>
      <c r="J127" s="134"/>
      <c r="K127" s="134"/>
      <c r="L127" s="134"/>
      <c r="M127" s="135"/>
      <c r="N127" s="87"/>
      <c r="O127" s="137"/>
      <c r="P127" s="138"/>
      <c r="Q127" s="139"/>
      <c r="R127" s="87"/>
      <c r="S127" s="137"/>
      <c r="T127" s="139"/>
    </row>
    <row r="128" spans="1:20" ht="15.75" customHeight="1" thickBot="1">
      <c r="A128" s="443"/>
      <c r="B128" s="490" t="s">
        <v>288</v>
      </c>
      <c r="C128" s="469" t="s">
        <v>223</v>
      </c>
      <c r="D128" s="82">
        <v>0.97147031712489706</v>
      </c>
      <c r="E128" s="82">
        <v>-3.5489242940475592</v>
      </c>
      <c r="F128" s="82">
        <v>-11.314439554285862</v>
      </c>
      <c r="G128" s="82">
        <v>1.781835581913235</v>
      </c>
      <c r="H128" s="81">
        <v>-1.6629821061538763</v>
      </c>
      <c r="I128" s="82">
        <v>-3.8007540694159871</v>
      </c>
      <c r="J128" s="80">
        <v>-1.071991811923926</v>
      </c>
      <c r="K128" s="80">
        <v>-0.82251760649059591</v>
      </c>
      <c r="L128" s="80">
        <v>-2.5985321506370234</v>
      </c>
      <c r="M128" s="81">
        <v>2.1543605955535696</v>
      </c>
      <c r="N128" s="101"/>
      <c r="O128" s="79">
        <v>-13.891893531208524</v>
      </c>
      <c r="P128" s="80">
        <v>0.11885347575935867</v>
      </c>
      <c r="Q128" s="81">
        <v>-13.773040055449165</v>
      </c>
      <c r="R128" s="101"/>
      <c r="S128" s="79">
        <v>-6.1394350429139628</v>
      </c>
      <c r="T128" s="81">
        <v>-0.55424256241199588</v>
      </c>
    </row>
    <row r="129" spans="1:20">
      <c r="A129" s="443"/>
      <c r="B129" s="443"/>
      <c r="C129" s="444"/>
      <c r="D129" s="102"/>
      <c r="E129" s="102"/>
      <c r="F129" s="102"/>
      <c r="G129" s="102"/>
      <c r="H129" s="102"/>
      <c r="I129" s="102"/>
      <c r="J129" s="102"/>
      <c r="K129" s="102"/>
      <c r="L129" s="102"/>
      <c r="M129" s="102"/>
      <c r="N129" s="102"/>
      <c r="O129" s="102"/>
      <c r="P129" s="102"/>
      <c r="Q129" s="102"/>
      <c r="R129" s="102"/>
      <c r="S129" s="102"/>
      <c r="T129" s="102"/>
    </row>
    <row r="130" spans="1:20" ht="13.5" thickBot="1">
      <c r="A130" s="443"/>
      <c r="B130" s="443"/>
      <c r="C130" s="444"/>
      <c r="D130" s="102"/>
      <c r="E130" s="102"/>
      <c r="F130" s="102"/>
      <c r="G130" s="102"/>
      <c r="H130" s="102"/>
      <c r="I130" s="102"/>
      <c r="J130" s="102"/>
      <c r="K130" s="102"/>
      <c r="L130" s="102"/>
      <c r="M130" s="102"/>
      <c r="N130" s="102"/>
      <c r="O130" s="102"/>
      <c r="P130" s="102"/>
      <c r="Q130" s="102"/>
      <c r="R130" s="102"/>
      <c r="S130" s="102"/>
      <c r="T130" s="102"/>
    </row>
    <row r="131" spans="1:20">
      <c r="A131" s="443"/>
      <c r="B131" s="1886"/>
      <c r="C131" s="1884" t="s">
        <v>210</v>
      </c>
      <c r="D131" s="103" t="s">
        <v>211</v>
      </c>
      <c r="E131" s="104"/>
      <c r="F131" s="104"/>
      <c r="G131" s="104"/>
      <c r="H131" s="105"/>
      <c r="I131" s="104" t="s">
        <v>212</v>
      </c>
      <c r="J131" s="106"/>
      <c r="K131" s="106"/>
      <c r="L131" s="106"/>
      <c r="M131" s="105"/>
      <c r="N131" s="87"/>
      <c r="O131" s="124" t="s">
        <v>211</v>
      </c>
      <c r="P131" s="125"/>
      <c r="Q131" s="126"/>
      <c r="R131" s="87"/>
      <c r="S131" s="124" t="s">
        <v>212</v>
      </c>
      <c r="T131" s="126"/>
    </row>
    <row r="132" spans="1:20" ht="25.5">
      <c r="A132" s="443"/>
      <c r="B132" s="1887"/>
      <c r="C132" s="1885"/>
      <c r="D132" s="107" t="s">
        <v>99</v>
      </c>
      <c r="E132" s="108" t="s">
        <v>100</v>
      </c>
      <c r="F132" s="108" t="s">
        <v>101</v>
      </c>
      <c r="G132" s="108" t="s">
        <v>102</v>
      </c>
      <c r="H132" s="109" t="s">
        <v>64</v>
      </c>
      <c r="I132" s="110" t="s">
        <v>213</v>
      </c>
      <c r="J132" s="108" t="s">
        <v>214</v>
      </c>
      <c r="K132" s="108" t="s">
        <v>215</v>
      </c>
      <c r="L132" s="108" t="s">
        <v>216</v>
      </c>
      <c r="M132" s="109" t="s">
        <v>217</v>
      </c>
      <c r="N132" s="87"/>
      <c r="O132" s="127" t="s">
        <v>218</v>
      </c>
      <c r="P132" s="128" t="s">
        <v>219</v>
      </c>
      <c r="Q132" s="129" t="s">
        <v>220</v>
      </c>
      <c r="R132" s="87"/>
      <c r="S132" s="127" t="s">
        <v>219</v>
      </c>
      <c r="T132" s="129" t="s">
        <v>221</v>
      </c>
    </row>
    <row r="133" spans="1:20" s="442" customFormat="1" ht="15.75" customHeight="1">
      <c r="A133" s="439"/>
      <c r="B133" s="491" t="s">
        <v>289</v>
      </c>
      <c r="C133" s="492" t="s">
        <v>223</v>
      </c>
      <c r="D133" s="62">
        <v>0.25354989190167387</v>
      </c>
      <c r="E133" s="63">
        <v>0.85223276104060597</v>
      </c>
      <c r="F133" s="63">
        <v>0.51156106998518036</v>
      </c>
      <c r="G133" s="63">
        <v>7.9556287162990085</v>
      </c>
      <c r="H133" s="64">
        <v>5.8596240032941758</v>
      </c>
      <c r="I133" s="63">
        <v>3.5205055807370833</v>
      </c>
      <c r="J133" s="65">
        <v>5.0710105672822463</v>
      </c>
      <c r="K133" s="65">
        <v>5.7709091488043196</v>
      </c>
      <c r="L133" s="65">
        <v>4.1707180227037535</v>
      </c>
      <c r="M133" s="64">
        <v>7.3215858784766201</v>
      </c>
      <c r="N133" s="102"/>
      <c r="O133" s="149">
        <v>1.6173437229274601</v>
      </c>
      <c r="P133" s="150">
        <v>13.815252719593184</v>
      </c>
      <c r="Q133" s="151">
        <v>15.432596442520644</v>
      </c>
      <c r="R133" s="70"/>
      <c r="S133" s="149">
        <v>25.854729198004023</v>
      </c>
      <c r="T133" s="151">
        <v>0.67533242343898847</v>
      </c>
    </row>
    <row r="134" spans="1:20" s="442" customFormat="1" ht="15.75" customHeight="1">
      <c r="A134" s="439"/>
      <c r="B134" s="491" t="s">
        <v>290</v>
      </c>
      <c r="C134" s="492" t="s">
        <v>223</v>
      </c>
      <c r="D134" s="71">
        <v>0.50380273942052511</v>
      </c>
      <c r="E134" s="72">
        <v>1.7615419363565303</v>
      </c>
      <c r="F134" s="72">
        <v>3.8016205202560798</v>
      </c>
      <c r="G134" s="72">
        <v>1.3772522008862607</v>
      </c>
      <c r="H134" s="73">
        <v>0.84909461436894418</v>
      </c>
      <c r="I134" s="72">
        <v>0.84240732383508443</v>
      </c>
      <c r="J134" s="74">
        <v>1.7692053993130112</v>
      </c>
      <c r="K134" s="74">
        <v>0.79685958716569139</v>
      </c>
      <c r="L134" s="74">
        <v>0.85893521485209345</v>
      </c>
      <c r="M134" s="73">
        <v>2.3489503974840122</v>
      </c>
      <c r="N134" s="102"/>
      <c r="O134" s="67">
        <v>6.0669651960331352</v>
      </c>
      <c r="P134" s="68">
        <v>2.2263468152552051</v>
      </c>
      <c r="Q134" s="69">
        <v>8.2933120112883394</v>
      </c>
      <c r="R134" s="70"/>
      <c r="S134" s="67">
        <v>6.6163579226498923</v>
      </c>
      <c r="T134" s="69">
        <v>-0.20220559486437767</v>
      </c>
    </row>
    <row r="135" spans="1:20" s="442" customFormat="1" ht="15.75" customHeight="1">
      <c r="A135" s="439"/>
      <c r="B135" s="491" t="s">
        <v>291</v>
      </c>
      <c r="C135" s="492" t="s">
        <v>223</v>
      </c>
      <c r="D135" s="71">
        <v>0.86897220921788865</v>
      </c>
      <c r="E135" s="72">
        <v>2.2113284084370353E-4</v>
      </c>
      <c r="F135" s="72">
        <v>1.3206792241126928</v>
      </c>
      <c r="G135" s="72">
        <v>0</v>
      </c>
      <c r="H135" s="73">
        <v>0</v>
      </c>
      <c r="I135" s="72">
        <v>0</v>
      </c>
      <c r="J135" s="74">
        <v>0</v>
      </c>
      <c r="K135" s="74">
        <v>0</v>
      </c>
      <c r="L135" s="74">
        <v>0</v>
      </c>
      <c r="M135" s="73">
        <v>0</v>
      </c>
      <c r="N135" s="102"/>
      <c r="O135" s="67">
        <v>2.1898725661714251</v>
      </c>
      <c r="P135" s="68">
        <v>0</v>
      </c>
      <c r="Q135" s="69">
        <v>2.1898725661714251</v>
      </c>
      <c r="R135" s="70"/>
      <c r="S135" s="67">
        <v>0</v>
      </c>
      <c r="T135" s="69">
        <v>-1</v>
      </c>
    </row>
    <row r="136" spans="1:20" s="442" customFormat="1" ht="15.75" customHeight="1" thickBot="1">
      <c r="A136" s="439"/>
      <c r="B136" s="493" t="s">
        <v>292</v>
      </c>
      <c r="C136" s="494" t="s">
        <v>223</v>
      </c>
      <c r="D136" s="152">
        <v>8.4625357279027313E-3</v>
      </c>
      <c r="E136" s="153">
        <v>1.9501669548993555E-2</v>
      </c>
      <c r="F136" s="153">
        <v>4.5576437922599349E-4</v>
      </c>
      <c r="G136" s="153">
        <v>0</v>
      </c>
      <c r="H136" s="154">
        <v>0</v>
      </c>
      <c r="I136" s="153">
        <v>0</v>
      </c>
      <c r="J136" s="155">
        <v>0</v>
      </c>
      <c r="K136" s="155">
        <v>0</v>
      </c>
      <c r="L136" s="155">
        <v>0</v>
      </c>
      <c r="M136" s="154">
        <v>0</v>
      </c>
      <c r="N136" s="102"/>
      <c r="O136" s="83">
        <v>2.8419969656122278E-2</v>
      </c>
      <c r="P136" s="84">
        <v>0</v>
      </c>
      <c r="Q136" s="85">
        <v>2.8419969656122278E-2</v>
      </c>
      <c r="R136" s="70"/>
      <c r="S136" s="83">
        <v>0</v>
      </c>
      <c r="T136" s="85">
        <v>-1</v>
      </c>
    </row>
    <row r="137" spans="1:20">
      <c r="A137" s="495"/>
      <c r="B137" s="496"/>
      <c r="C137" s="497"/>
      <c r="D137" s="498"/>
      <c r="E137" s="498"/>
      <c r="F137" s="498"/>
      <c r="G137" s="498"/>
      <c r="H137" s="498"/>
      <c r="I137" s="498"/>
      <c r="J137" s="498"/>
      <c r="K137" s="498"/>
      <c r="L137" s="498"/>
      <c r="M137" s="498"/>
      <c r="N137" s="498"/>
      <c r="O137" s="441"/>
      <c r="P137" s="441"/>
      <c r="Q137" s="441"/>
      <c r="R137" s="441"/>
      <c r="S137" s="441"/>
      <c r="T137" s="441"/>
    </row>
    <row r="138" spans="1:20">
      <c r="A138" s="443"/>
      <c r="B138" s="443"/>
      <c r="C138" s="444"/>
      <c r="D138" s="441"/>
      <c r="E138" s="441"/>
      <c r="F138" s="441"/>
      <c r="G138" s="441"/>
      <c r="H138" s="441"/>
      <c r="I138" s="441"/>
      <c r="J138" s="441"/>
      <c r="K138" s="441"/>
      <c r="L138" s="441"/>
      <c r="M138" s="441"/>
      <c r="N138" s="441"/>
      <c r="O138" s="441"/>
      <c r="P138" s="441"/>
      <c r="Q138" s="441"/>
      <c r="R138" s="441"/>
      <c r="S138" s="441"/>
      <c r="T138" s="441"/>
    </row>
    <row r="139" spans="1:20">
      <c r="A139" s="443"/>
      <c r="B139" s="443"/>
      <c r="C139" s="444"/>
      <c r="D139" s="441"/>
      <c r="E139" s="441"/>
      <c r="F139" s="441"/>
      <c r="G139" s="441"/>
      <c r="H139" s="441"/>
      <c r="I139" s="441"/>
      <c r="J139" s="441"/>
      <c r="K139" s="441"/>
      <c r="L139" s="441"/>
      <c r="M139" s="441"/>
      <c r="N139" s="441"/>
      <c r="O139" s="441"/>
      <c r="P139" s="441"/>
      <c r="Q139" s="441"/>
      <c r="R139" s="441"/>
      <c r="S139" s="441"/>
      <c r="T139" s="441"/>
    </row>
    <row r="140" spans="1:20">
      <c r="A140" s="443"/>
      <c r="B140" s="443"/>
      <c r="C140" s="444"/>
      <c r="D140" s="441"/>
      <c r="E140" s="441"/>
      <c r="F140" s="441"/>
      <c r="G140" s="441"/>
      <c r="H140" s="441"/>
      <c r="I140" s="441"/>
      <c r="J140" s="441"/>
      <c r="K140" s="441"/>
      <c r="L140" s="441"/>
      <c r="M140" s="441"/>
      <c r="N140" s="441"/>
      <c r="O140" s="441"/>
      <c r="P140" s="441"/>
      <c r="Q140" s="441"/>
      <c r="R140" s="441"/>
      <c r="S140" s="441"/>
      <c r="T140" s="441"/>
    </row>
    <row r="141" spans="1:20">
      <c r="A141" s="443"/>
      <c r="B141" s="443"/>
      <c r="C141" s="444"/>
      <c r="D141" s="441"/>
      <c r="E141" s="441"/>
      <c r="F141" s="441"/>
      <c r="G141" s="441"/>
      <c r="H141" s="441"/>
      <c r="I141" s="441"/>
      <c r="J141" s="441"/>
      <c r="K141" s="441"/>
      <c r="L141" s="441"/>
      <c r="M141" s="441"/>
      <c r="N141" s="441"/>
      <c r="O141" s="441"/>
      <c r="P141" s="441"/>
      <c r="Q141" s="441"/>
      <c r="R141" s="441"/>
      <c r="S141" s="441"/>
      <c r="T141" s="441"/>
    </row>
    <row r="142" spans="1:20">
      <c r="A142" s="443"/>
      <c r="B142" s="443"/>
      <c r="C142" s="444"/>
      <c r="D142" s="441"/>
      <c r="E142" s="441"/>
      <c r="F142" s="441"/>
      <c r="G142" s="441"/>
      <c r="H142" s="441"/>
      <c r="I142" s="441"/>
      <c r="J142" s="441"/>
      <c r="K142" s="441"/>
      <c r="L142" s="441"/>
      <c r="M142" s="441"/>
      <c r="N142" s="441"/>
      <c r="O142" s="441"/>
      <c r="P142" s="441"/>
      <c r="Q142" s="441"/>
      <c r="R142" s="441"/>
      <c r="S142" s="441"/>
      <c r="T142" s="441"/>
    </row>
    <row r="143" spans="1:20">
      <c r="A143" s="443"/>
      <c r="B143" s="443"/>
      <c r="C143" s="444"/>
      <c r="D143" s="441"/>
      <c r="E143" s="441"/>
      <c r="F143" s="441"/>
      <c r="G143" s="441"/>
      <c r="H143" s="441"/>
      <c r="I143" s="441"/>
      <c r="J143" s="441"/>
      <c r="K143" s="441"/>
      <c r="L143" s="441"/>
      <c r="M143" s="441"/>
      <c r="N143" s="441"/>
      <c r="O143" s="441"/>
      <c r="P143" s="441"/>
      <c r="Q143" s="441"/>
      <c r="R143" s="441"/>
      <c r="S143" s="441"/>
      <c r="T143" s="441"/>
    </row>
    <row r="144" spans="1:20">
      <c r="A144" s="443"/>
      <c r="B144" s="443"/>
      <c r="C144" s="444"/>
      <c r="D144" s="441"/>
      <c r="E144" s="441"/>
      <c r="F144" s="441"/>
      <c r="G144" s="441"/>
      <c r="H144" s="441"/>
      <c r="I144" s="441"/>
      <c r="J144" s="441"/>
      <c r="K144" s="441"/>
      <c r="L144" s="441"/>
      <c r="M144" s="441"/>
      <c r="N144" s="441"/>
      <c r="O144" s="441"/>
      <c r="P144" s="441"/>
      <c r="Q144" s="441"/>
      <c r="R144" s="441"/>
      <c r="S144" s="441"/>
      <c r="T144" s="441"/>
    </row>
  </sheetData>
  <mergeCells count="12">
    <mergeCell ref="B76:B77"/>
    <mergeCell ref="C76:C77"/>
    <mergeCell ref="B105:B106"/>
    <mergeCell ref="C105:C106"/>
    <mergeCell ref="B131:B132"/>
    <mergeCell ref="C131:C132"/>
    <mergeCell ref="B8:B9"/>
    <mergeCell ref="C8:C9"/>
    <mergeCell ref="B18:B19"/>
    <mergeCell ref="C18:C19"/>
    <mergeCell ref="B51:B52"/>
    <mergeCell ref="C51:C52"/>
  </mergeCells>
  <phoneticPr fontId="2" type="noConversion"/>
  <pageMargins left="0.75" right="0.75" top="1" bottom="1" header="0.5" footer="0.5"/>
  <pageSetup paperSize="9" scale="28"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5FFFF"/>
    <pageSetUpPr fitToPage="1"/>
  </sheetPr>
  <dimension ref="A1:AD267"/>
  <sheetViews>
    <sheetView zoomScale="80" zoomScaleNormal="80" zoomScaleSheetLayoutView="85" workbookViewId="0">
      <selection activeCell="W41" sqref="W41"/>
    </sheetView>
  </sheetViews>
  <sheetFormatPr defaultColWidth="10.28515625" defaultRowHeight="12.75"/>
  <cols>
    <col min="1" max="1" width="3.7109375" style="514" customWidth="1"/>
    <col min="2" max="2" width="105.28515625" style="514" customWidth="1"/>
    <col min="3" max="3" width="7.42578125" style="515" customWidth="1"/>
    <col min="4" max="8" width="10" style="516" customWidth="1"/>
    <col min="9" max="13" width="10.28515625" style="516" customWidth="1"/>
    <col min="14" max="14" width="3.140625" style="516" customWidth="1"/>
    <col min="15" max="17" width="10.28515625" style="516" customWidth="1"/>
    <col min="18" max="18" width="3.140625" style="516" customWidth="1"/>
    <col min="19" max="19" width="10.28515625" style="516" customWidth="1"/>
    <col min="20" max="20" width="13" style="516" customWidth="1"/>
    <col min="21" max="16384" width="10.28515625" style="514"/>
  </cols>
  <sheetData>
    <row r="1" spans="1:30" s="505" customFormat="1" ht="26.25">
      <c r="A1" s="499" t="s">
        <v>94</v>
      </c>
      <c r="B1" s="500"/>
      <c r="C1" s="501"/>
      <c r="D1" s="502"/>
      <c r="E1" s="502"/>
      <c r="F1" s="502"/>
      <c r="G1" s="502"/>
      <c r="H1" s="502"/>
      <c r="I1" s="502"/>
      <c r="J1" s="503"/>
      <c r="K1" s="504"/>
      <c r="L1" s="504"/>
      <c r="M1" s="503"/>
      <c r="N1" s="503"/>
      <c r="O1" s="504"/>
      <c r="P1" s="503"/>
      <c r="Q1" s="503"/>
      <c r="R1" s="503"/>
      <c r="S1" s="503"/>
      <c r="T1" s="503"/>
      <c r="Y1" s="506"/>
      <c r="Z1" s="506"/>
      <c r="AA1" s="506"/>
      <c r="AB1" s="506"/>
      <c r="AC1" s="506"/>
      <c r="AD1" s="506"/>
    </row>
    <row r="2" spans="1:30" s="505" customFormat="1" ht="18">
      <c r="A2" s="507"/>
      <c r="C2" s="508"/>
      <c r="D2" s="503"/>
      <c r="E2" s="503"/>
      <c r="F2" s="503"/>
      <c r="G2" s="503"/>
      <c r="H2" s="503"/>
      <c r="I2" s="503"/>
      <c r="J2" s="503"/>
      <c r="K2" s="503"/>
      <c r="L2" s="503"/>
      <c r="M2" s="503"/>
      <c r="N2" s="503"/>
      <c r="O2" s="503"/>
      <c r="P2" s="503"/>
      <c r="Q2" s="503"/>
      <c r="R2" s="503"/>
      <c r="S2" s="503"/>
      <c r="T2" s="503"/>
      <c r="Y2" s="506"/>
      <c r="Z2" s="506"/>
      <c r="AA2" s="506"/>
      <c r="AB2" s="506"/>
      <c r="AC2" s="506"/>
      <c r="AD2" s="506"/>
    </row>
    <row r="3" spans="1:30" s="510" customFormat="1" ht="18.75" thickBot="1">
      <c r="A3" s="509" t="s">
        <v>293</v>
      </c>
      <c r="C3" s="511"/>
      <c r="D3" s="512"/>
      <c r="E3" s="512"/>
      <c r="F3" s="512"/>
      <c r="G3" s="512"/>
      <c r="H3" s="512"/>
      <c r="I3" s="512"/>
      <c r="J3" s="512"/>
      <c r="K3" s="512"/>
      <c r="L3" s="512"/>
      <c r="M3" s="512"/>
      <c r="N3" s="512"/>
      <c r="O3" s="512"/>
      <c r="P3" s="512"/>
      <c r="Q3" s="512"/>
      <c r="R3" s="512"/>
      <c r="S3" s="512"/>
      <c r="T3" s="512"/>
      <c r="Y3" s="513"/>
      <c r="Z3" s="513"/>
      <c r="AA3" s="513"/>
      <c r="AB3" s="513"/>
      <c r="AC3" s="513"/>
      <c r="AD3" s="513"/>
    </row>
    <row r="4" spans="1:30">
      <c r="R4" s="517"/>
    </row>
    <row r="5" spans="1:30">
      <c r="D5" s="514"/>
      <c r="E5" s="514"/>
      <c r="F5" s="514"/>
      <c r="G5" s="514"/>
      <c r="H5" s="514"/>
      <c r="I5" s="514"/>
      <c r="J5" s="514"/>
      <c r="K5" s="514"/>
      <c r="L5" s="514"/>
      <c r="M5" s="514"/>
      <c r="N5" s="514"/>
      <c r="O5" s="514"/>
      <c r="P5" s="514"/>
      <c r="Q5" s="514"/>
      <c r="R5" s="517"/>
      <c r="S5" s="514"/>
      <c r="T5" s="514"/>
    </row>
    <row r="6" spans="1:30">
      <c r="B6" s="518" t="s">
        <v>294</v>
      </c>
      <c r="D6" s="514"/>
      <c r="E6" s="514"/>
      <c r="F6" s="514"/>
      <c r="G6" s="514"/>
      <c r="H6" s="514"/>
      <c r="I6" s="514"/>
      <c r="J6" s="514"/>
      <c r="K6" s="514"/>
      <c r="L6" s="514"/>
      <c r="M6" s="514"/>
      <c r="N6" s="514"/>
      <c r="O6" s="514"/>
      <c r="P6" s="514"/>
      <c r="Q6" s="514"/>
      <c r="R6" s="517"/>
      <c r="S6" s="514"/>
      <c r="T6" s="514"/>
    </row>
    <row r="7" spans="1:30" ht="13.5" thickBot="1">
      <c r="D7" s="514"/>
      <c r="E7" s="514"/>
      <c r="F7" s="514"/>
      <c r="G7" s="514"/>
      <c r="H7" s="514"/>
      <c r="I7" s="514"/>
      <c r="J7" s="514"/>
      <c r="K7" s="514"/>
      <c r="L7" s="514"/>
      <c r="M7" s="514"/>
      <c r="N7" s="514"/>
      <c r="O7" s="514"/>
      <c r="P7" s="514"/>
      <c r="Q7" s="514"/>
      <c r="R7" s="517"/>
      <c r="S7" s="514"/>
      <c r="T7" s="514"/>
    </row>
    <row r="8" spans="1:30">
      <c r="B8" s="519"/>
      <c r="C8" s="1888" t="s">
        <v>210</v>
      </c>
      <c r="D8" s="520" t="s">
        <v>211</v>
      </c>
      <c r="E8" s="521"/>
      <c r="F8" s="521"/>
      <c r="G8" s="521"/>
      <c r="H8" s="522"/>
      <c r="I8" s="521" t="s">
        <v>212</v>
      </c>
      <c r="J8" s="523"/>
      <c r="K8" s="523"/>
      <c r="L8" s="523"/>
      <c r="M8" s="522"/>
      <c r="N8" s="514"/>
      <c r="O8" s="524" t="s">
        <v>211</v>
      </c>
      <c r="P8" s="525"/>
      <c r="Q8" s="526"/>
      <c r="R8" s="517"/>
      <c r="S8" s="524" t="s">
        <v>212</v>
      </c>
      <c r="T8" s="526"/>
    </row>
    <row r="9" spans="1:30">
      <c r="B9" s="527"/>
      <c r="C9" s="1889"/>
      <c r="D9" s="528" t="s">
        <v>99</v>
      </c>
      <c r="E9" s="529" t="s">
        <v>100</v>
      </c>
      <c r="F9" s="529" t="s">
        <v>101</v>
      </c>
      <c r="G9" s="529" t="s">
        <v>102</v>
      </c>
      <c r="H9" s="530" t="s">
        <v>64</v>
      </c>
      <c r="I9" s="531" t="s">
        <v>213</v>
      </c>
      <c r="J9" s="529" t="s">
        <v>214</v>
      </c>
      <c r="K9" s="529" t="s">
        <v>215</v>
      </c>
      <c r="L9" s="529" t="s">
        <v>216</v>
      </c>
      <c r="M9" s="530" t="s">
        <v>217</v>
      </c>
      <c r="N9" s="514"/>
      <c r="O9" s="532" t="s">
        <v>218</v>
      </c>
      <c r="P9" s="533" t="s">
        <v>219</v>
      </c>
      <c r="Q9" s="534" t="s">
        <v>220</v>
      </c>
      <c r="R9" s="517"/>
      <c r="S9" s="532" t="s">
        <v>219</v>
      </c>
      <c r="T9" s="534" t="s">
        <v>221</v>
      </c>
    </row>
    <row r="10" spans="1:30">
      <c r="B10" s="535" t="s">
        <v>295</v>
      </c>
      <c r="C10" s="536" t="s">
        <v>223</v>
      </c>
      <c r="D10" s="537">
        <f t="shared" ref="D10:M10" si="0">SUM(D178,D217,D240)</f>
        <v>0</v>
      </c>
      <c r="E10" s="537">
        <f t="shared" si="0"/>
        <v>0</v>
      </c>
      <c r="F10" s="537">
        <f t="shared" si="0"/>
        <v>0</v>
      </c>
      <c r="G10" s="537">
        <f t="shared" si="0"/>
        <v>0</v>
      </c>
      <c r="H10" s="538">
        <f t="shared" si="0"/>
        <v>0</v>
      </c>
      <c r="I10" s="537">
        <f t="shared" si="0"/>
        <v>0</v>
      </c>
      <c r="J10" s="539">
        <f t="shared" si="0"/>
        <v>0</v>
      </c>
      <c r="K10" s="539">
        <f t="shared" si="0"/>
        <v>0</v>
      </c>
      <c r="L10" s="539">
        <f t="shared" si="0"/>
        <v>0</v>
      </c>
      <c r="M10" s="538">
        <f t="shared" si="0"/>
        <v>0</v>
      </c>
      <c r="N10" s="514"/>
      <c r="O10" s="540">
        <f t="shared" ref="O10:O15" si="1">SUM(D10:G10)</f>
        <v>0</v>
      </c>
      <c r="P10" s="541">
        <f t="shared" ref="P10:P15" si="2">SUM(H10)</f>
        <v>0</v>
      </c>
      <c r="Q10" s="542">
        <f t="shared" ref="Q10:Q15" si="3">SUM(D10:H10)</f>
        <v>0</v>
      </c>
      <c r="R10" s="517"/>
      <c r="S10" s="540">
        <f t="shared" ref="S10:S15" si="4">SUM(I10:M10)</f>
        <v>0</v>
      </c>
      <c r="T10" s="165" t="str">
        <f t="shared" ref="T10:T15" si="5">IF(Q10&lt;&gt;0,(S10-Q10)/Q10,"0")</f>
        <v>0</v>
      </c>
    </row>
    <row r="11" spans="1:30">
      <c r="B11" s="535" t="s">
        <v>296</v>
      </c>
      <c r="C11" s="536" t="s">
        <v>223</v>
      </c>
      <c r="D11" s="543">
        <f t="shared" ref="D11:M11" si="6">D240</f>
        <v>0</v>
      </c>
      <c r="E11" s="537">
        <f t="shared" si="6"/>
        <v>0</v>
      </c>
      <c r="F11" s="537">
        <f t="shared" si="6"/>
        <v>0</v>
      </c>
      <c r="G11" s="537">
        <f t="shared" si="6"/>
        <v>0</v>
      </c>
      <c r="H11" s="538">
        <f t="shared" si="6"/>
        <v>0</v>
      </c>
      <c r="I11" s="537">
        <f t="shared" si="6"/>
        <v>0</v>
      </c>
      <c r="J11" s="539">
        <f t="shared" si="6"/>
        <v>0</v>
      </c>
      <c r="K11" s="539">
        <f t="shared" si="6"/>
        <v>0</v>
      </c>
      <c r="L11" s="539">
        <f t="shared" si="6"/>
        <v>0</v>
      </c>
      <c r="M11" s="538">
        <f t="shared" si="6"/>
        <v>0</v>
      </c>
      <c r="N11" s="514"/>
      <c r="O11" s="540">
        <f t="shared" si="1"/>
        <v>0</v>
      </c>
      <c r="P11" s="541">
        <f t="shared" si="2"/>
        <v>0</v>
      </c>
      <c r="Q11" s="542">
        <f t="shared" si="3"/>
        <v>0</v>
      </c>
      <c r="R11" s="517"/>
      <c r="S11" s="540">
        <f t="shared" si="4"/>
        <v>0</v>
      </c>
      <c r="T11" s="165" t="str">
        <f t="shared" si="5"/>
        <v>0</v>
      </c>
    </row>
    <row r="12" spans="1:30">
      <c r="B12" s="544" t="s">
        <v>297</v>
      </c>
      <c r="C12" s="536" t="s">
        <v>223</v>
      </c>
      <c r="D12" s="543">
        <f t="shared" ref="D12:M12" si="7">D263</f>
        <v>0</v>
      </c>
      <c r="E12" s="537">
        <f t="shared" si="7"/>
        <v>0</v>
      </c>
      <c r="F12" s="537">
        <f t="shared" si="7"/>
        <v>0</v>
      </c>
      <c r="G12" s="537">
        <f t="shared" si="7"/>
        <v>0</v>
      </c>
      <c r="H12" s="538">
        <f t="shared" si="7"/>
        <v>0</v>
      </c>
      <c r="I12" s="537">
        <f t="shared" si="7"/>
        <v>0</v>
      </c>
      <c r="J12" s="539">
        <f t="shared" si="7"/>
        <v>0</v>
      </c>
      <c r="K12" s="539">
        <f t="shared" si="7"/>
        <v>0</v>
      </c>
      <c r="L12" s="539">
        <f t="shared" si="7"/>
        <v>0</v>
      </c>
      <c r="M12" s="538">
        <f t="shared" si="7"/>
        <v>0</v>
      </c>
      <c r="N12" s="514"/>
      <c r="O12" s="540">
        <f t="shared" si="1"/>
        <v>0</v>
      </c>
      <c r="P12" s="541">
        <f t="shared" si="2"/>
        <v>0</v>
      </c>
      <c r="Q12" s="542">
        <f t="shared" si="3"/>
        <v>0</v>
      </c>
      <c r="R12" s="517"/>
      <c r="S12" s="540">
        <f t="shared" si="4"/>
        <v>0</v>
      </c>
      <c r="T12" s="165" t="str">
        <f t="shared" si="5"/>
        <v>0</v>
      </c>
    </row>
    <row r="13" spans="1:30">
      <c r="B13" s="535" t="s">
        <v>298</v>
      </c>
      <c r="C13" s="536" t="s">
        <v>223</v>
      </c>
      <c r="D13" s="545">
        <f t="shared" ref="D13:M13" si="8">D11-D12</f>
        <v>0</v>
      </c>
      <c r="E13" s="546">
        <f t="shared" si="8"/>
        <v>0</v>
      </c>
      <c r="F13" s="546">
        <f t="shared" si="8"/>
        <v>0</v>
      </c>
      <c r="G13" s="546">
        <f t="shared" si="8"/>
        <v>0</v>
      </c>
      <c r="H13" s="547">
        <f t="shared" si="8"/>
        <v>0</v>
      </c>
      <c r="I13" s="548">
        <f t="shared" si="8"/>
        <v>0</v>
      </c>
      <c r="J13" s="546">
        <f t="shared" si="8"/>
        <v>0</v>
      </c>
      <c r="K13" s="546">
        <f t="shared" si="8"/>
        <v>0</v>
      </c>
      <c r="L13" s="546">
        <f t="shared" si="8"/>
        <v>0</v>
      </c>
      <c r="M13" s="547">
        <f t="shared" si="8"/>
        <v>0</v>
      </c>
      <c r="N13" s="514"/>
      <c r="O13" s="540">
        <f t="shared" si="1"/>
        <v>0</v>
      </c>
      <c r="P13" s="541">
        <f t="shared" si="2"/>
        <v>0</v>
      </c>
      <c r="Q13" s="542">
        <f t="shared" si="3"/>
        <v>0</v>
      </c>
      <c r="R13" s="517"/>
      <c r="S13" s="540">
        <f t="shared" si="4"/>
        <v>0</v>
      </c>
      <c r="T13" s="165" t="str">
        <f t="shared" si="5"/>
        <v>0</v>
      </c>
    </row>
    <row r="14" spans="1:30">
      <c r="B14" s="535" t="s">
        <v>299</v>
      </c>
      <c r="C14" s="536" t="s">
        <v>223</v>
      </c>
      <c r="D14" s="549"/>
      <c r="E14" s="549"/>
      <c r="F14" s="549"/>
      <c r="G14" s="549"/>
      <c r="H14" s="549"/>
      <c r="I14" s="549"/>
      <c r="J14" s="549"/>
      <c r="K14" s="549"/>
      <c r="L14" s="549"/>
      <c r="M14" s="549"/>
      <c r="N14" s="514"/>
      <c r="O14" s="540">
        <f t="shared" si="1"/>
        <v>0</v>
      </c>
      <c r="P14" s="541">
        <f t="shared" si="2"/>
        <v>0</v>
      </c>
      <c r="Q14" s="542">
        <f t="shared" si="3"/>
        <v>0</v>
      </c>
      <c r="R14" s="517"/>
      <c r="S14" s="540">
        <f t="shared" si="4"/>
        <v>0</v>
      </c>
      <c r="T14" s="165" t="str">
        <f t="shared" si="5"/>
        <v>0</v>
      </c>
    </row>
    <row r="15" spans="1:30">
      <c r="B15" s="535" t="s">
        <v>300</v>
      </c>
      <c r="C15" s="536" t="s">
        <v>223</v>
      </c>
      <c r="D15" s="550">
        <f t="shared" ref="D15:M15" si="9">D13+D14</f>
        <v>0</v>
      </c>
      <c r="E15" s="551">
        <f t="shared" si="9"/>
        <v>0</v>
      </c>
      <c r="F15" s="551">
        <f t="shared" si="9"/>
        <v>0</v>
      </c>
      <c r="G15" s="551">
        <f t="shared" si="9"/>
        <v>0</v>
      </c>
      <c r="H15" s="552">
        <f t="shared" si="9"/>
        <v>0</v>
      </c>
      <c r="I15" s="551">
        <f t="shared" si="9"/>
        <v>0</v>
      </c>
      <c r="J15" s="553">
        <f t="shared" si="9"/>
        <v>0</v>
      </c>
      <c r="K15" s="553">
        <f t="shared" si="9"/>
        <v>0</v>
      </c>
      <c r="L15" s="553">
        <f t="shared" si="9"/>
        <v>0</v>
      </c>
      <c r="M15" s="552">
        <f t="shared" si="9"/>
        <v>0</v>
      </c>
      <c r="N15" s="514"/>
      <c r="O15" s="540">
        <f t="shared" si="1"/>
        <v>0</v>
      </c>
      <c r="P15" s="541">
        <f t="shared" si="2"/>
        <v>0</v>
      </c>
      <c r="Q15" s="542">
        <f t="shared" si="3"/>
        <v>0</v>
      </c>
      <c r="R15" s="517"/>
      <c r="S15" s="540">
        <f t="shared" si="4"/>
        <v>0</v>
      </c>
      <c r="T15" s="165" t="str">
        <f t="shared" si="5"/>
        <v>0</v>
      </c>
    </row>
    <row r="16" spans="1:30" ht="13.5" thickBot="1">
      <c r="B16" s="554" t="s">
        <v>301</v>
      </c>
      <c r="C16" s="555"/>
      <c r="D16" s="556" t="str">
        <f t="shared" ref="D16:M16" si="10">IF(D13-SUM(D31,D35,D39,D43)=0,"OK","ERROR")</f>
        <v>OK</v>
      </c>
      <c r="E16" s="557" t="str">
        <f t="shared" si="10"/>
        <v>OK</v>
      </c>
      <c r="F16" s="557" t="str">
        <f t="shared" si="10"/>
        <v>OK</v>
      </c>
      <c r="G16" s="557" t="str">
        <f t="shared" si="10"/>
        <v>OK</v>
      </c>
      <c r="H16" s="558" t="str">
        <f t="shared" si="10"/>
        <v>OK</v>
      </c>
      <c r="I16" s="557" t="str">
        <f t="shared" si="10"/>
        <v>OK</v>
      </c>
      <c r="J16" s="559" t="str">
        <f t="shared" si="10"/>
        <v>OK</v>
      </c>
      <c r="K16" s="559" t="str">
        <f t="shared" si="10"/>
        <v>OK</v>
      </c>
      <c r="L16" s="559" t="str">
        <f t="shared" si="10"/>
        <v>OK</v>
      </c>
      <c r="M16" s="558" t="str">
        <f t="shared" si="10"/>
        <v>OK</v>
      </c>
      <c r="N16" s="514"/>
      <c r="O16" s="560"/>
      <c r="P16" s="561"/>
      <c r="Q16" s="562"/>
      <c r="R16" s="517"/>
      <c r="S16" s="560"/>
      <c r="T16" s="563"/>
    </row>
    <row r="17" spans="2:20" ht="13.5" thickBot="1">
      <c r="D17" s="514"/>
      <c r="E17" s="514"/>
      <c r="F17" s="514"/>
      <c r="G17" s="514"/>
      <c r="H17" s="514"/>
      <c r="I17" s="514"/>
      <c r="J17" s="514"/>
      <c r="K17" s="514"/>
      <c r="L17" s="514"/>
      <c r="M17" s="514"/>
      <c r="N17" s="514"/>
      <c r="O17" s="514"/>
      <c r="P17" s="514"/>
      <c r="Q17" s="514"/>
      <c r="R17" s="517"/>
      <c r="S17" s="514"/>
      <c r="T17" s="514"/>
    </row>
    <row r="18" spans="2:20">
      <c r="B18" s="519"/>
      <c r="C18" s="1888" t="s">
        <v>210</v>
      </c>
      <c r="D18" s="520" t="s">
        <v>211</v>
      </c>
      <c r="E18" s="521"/>
      <c r="F18" s="521"/>
      <c r="G18" s="521"/>
      <c r="H18" s="522"/>
      <c r="I18" s="521" t="s">
        <v>212</v>
      </c>
      <c r="J18" s="523"/>
      <c r="K18" s="523"/>
      <c r="L18" s="523"/>
      <c r="M18" s="522"/>
      <c r="N18" s="514"/>
      <c r="O18" s="524" t="s">
        <v>211</v>
      </c>
      <c r="P18" s="525"/>
      <c r="Q18" s="526"/>
      <c r="R18" s="517"/>
      <c r="S18" s="524" t="s">
        <v>212</v>
      </c>
      <c r="T18" s="526"/>
    </row>
    <row r="19" spans="2:20">
      <c r="B19" s="527"/>
      <c r="C19" s="1889"/>
      <c r="D19" s="528" t="s">
        <v>99</v>
      </c>
      <c r="E19" s="529" t="s">
        <v>100</v>
      </c>
      <c r="F19" s="529" t="s">
        <v>101</v>
      </c>
      <c r="G19" s="529" t="s">
        <v>102</v>
      </c>
      <c r="H19" s="530" t="s">
        <v>64</v>
      </c>
      <c r="I19" s="531" t="s">
        <v>213</v>
      </c>
      <c r="J19" s="529" t="s">
        <v>214</v>
      </c>
      <c r="K19" s="529" t="s">
        <v>215</v>
      </c>
      <c r="L19" s="529" t="s">
        <v>216</v>
      </c>
      <c r="M19" s="530" t="s">
        <v>217</v>
      </c>
      <c r="N19" s="514"/>
      <c r="O19" s="532" t="s">
        <v>218</v>
      </c>
      <c r="P19" s="533" t="s">
        <v>219</v>
      </c>
      <c r="Q19" s="534" t="s">
        <v>220</v>
      </c>
      <c r="R19" s="517"/>
      <c r="S19" s="532" t="s">
        <v>219</v>
      </c>
      <c r="T19" s="534" t="s">
        <v>221</v>
      </c>
    </row>
    <row r="20" spans="2:20">
      <c r="B20" s="535" t="s">
        <v>302</v>
      </c>
      <c r="C20" s="536" t="s">
        <v>223</v>
      </c>
      <c r="D20" s="549"/>
      <c r="E20" s="564"/>
      <c r="F20" s="564"/>
      <c r="G20" s="564"/>
      <c r="H20" s="565"/>
      <c r="I20" s="564"/>
      <c r="J20" s="566"/>
      <c r="K20" s="566"/>
      <c r="L20" s="566"/>
      <c r="M20" s="565"/>
      <c r="N20" s="514"/>
      <c r="O20" s="540">
        <f>SUM(D20:G20)</f>
        <v>0</v>
      </c>
      <c r="P20" s="541">
        <f>SUM(H20)</f>
        <v>0</v>
      </c>
      <c r="Q20" s="542">
        <f>SUM(D20:H20)</f>
        <v>0</v>
      </c>
      <c r="R20" s="517"/>
      <c r="S20" s="540">
        <f>SUM(I20:M20)</f>
        <v>0</v>
      </c>
      <c r="T20" s="165" t="str">
        <f>IF(Q20&lt;&gt;0,(S20-Q20)/Q20,"0")</f>
        <v>0</v>
      </c>
    </row>
    <row r="21" spans="2:20">
      <c r="B21" s="535" t="s">
        <v>303</v>
      </c>
      <c r="C21" s="536" t="s">
        <v>223</v>
      </c>
      <c r="D21" s="549"/>
      <c r="E21" s="564"/>
      <c r="F21" s="564"/>
      <c r="G21" s="564"/>
      <c r="H21" s="565"/>
      <c r="I21" s="564"/>
      <c r="J21" s="566"/>
      <c r="K21" s="566"/>
      <c r="L21" s="566"/>
      <c r="M21" s="565"/>
      <c r="N21" s="514"/>
      <c r="O21" s="540">
        <f>SUM(D21:G21)</f>
        <v>0</v>
      </c>
      <c r="P21" s="541">
        <f>SUM(H21)</f>
        <v>0</v>
      </c>
      <c r="Q21" s="542">
        <f>SUM(D21:H21)</f>
        <v>0</v>
      </c>
      <c r="R21" s="517"/>
      <c r="S21" s="540">
        <f>SUM(I21:M21)</f>
        <v>0</v>
      </c>
      <c r="T21" s="165" t="str">
        <f>IF(Q21&lt;&gt;0,(S21-Q21)/Q21,"0")</f>
        <v>0</v>
      </c>
    </row>
    <row r="22" spans="2:20" ht="13.5" thickBot="1">
      <c r="B22" s="554" t="s">
        <v>220</v>
      </c>
      <c r="C22" s="555" t="s">
        <v>223</v>
      </c>
      <c r="D22" s="567">
        <f t="shared" ref="D22:M22" si="11">D20+D21</f>
        <v>0</v>
      </c>
      <c r="E22" s="568">
        <f t="shared" si="11"/>
        <v>0</v>
      </c>
      <c r="F22" s="568">
        <f t="shared" si="11"/>
        <v>0</v>
      </c>
      <c r="G22" s="568">
        <f t="shared" si="11"/>
        <v>0</v>
      </c>
      <c r="H22" s="569">
        <f t="shared" si="11"/>
        <v>0</v>
      </c>
      <c r="I22" s="568">
        <f t="shared" si="11"/>
        <v>0</v>
      </c>
      <c r="J22" s="570">
        <f t="shared" si="11"/>
        <v>0</v>
      </c>
      <c r="K22" s="570">
        <f t="shared" si="11"/>
        <v>0</v>
      </c>
      <c r="L22" s="570">
        <f t="shared" si="11"/>
        <v>0</v>
      </c>
      <c r="M22" s="569">
        <f t="shared" si="11"/>
        <v>0</v>
      </c>
      <c r="N22" s="514"/>
      <c r="O22" s="571">
        <f>SUM(D22:G22)</f>
        <v>0</v>
      </c>
      <c r="P22" s="572">
        <f>SUM(H22)</f>
        <v>0</v>
      </c>
      <c r="Q22" s="573">
        <f>SUM(D22:H22)</f>
        <v>0</v>
      </c>
      <c r="R22" s="517"/>
      <c r="S22" s="571">
        <f>SUM(I22:M22)</f>
        <v>0</v>
      </c>
      <c r="T22" s="189" t="str">
        <f>IF(Q22&lt;&gt;0,(S22-Q22)/Q22,"0")</f>
        <v>0</v>
      </c>
    </row>
    <row r="23" spans="2:20">
      <c r="D23" s="514"/>
      <c r="E23" s="514"/>
      <c r="F23" s="514"/>
      <c r="G23" s="514"/>
      <c r="H23" s="514"/>
      <c r="I23" s="514"/>
      <c r="J23" s="514"/>
      <c r="K23" s="514"/>
      <c r="L23" s="514"/>
      <c r="M23" s="514"/>
      <c r="N23" s="514"/>
      <c r="O23" s="514"/>
      <c r="P23" s="514"/>
      <c r="Q23" s="514"/>
      <c r="R23" s="517"/>
      <c r="S23" s="514"/>
      <c r="T23" s="514"/>
    </row>
    <row r="24" spans="2:20">
      <c r="B24" s="574" t="s">
        <v>304</v>
      </c>
      <c r="C24" s="575"/>
      <c r="D24" s="576"/>
      <c r="E24" s="576"/>
      <c r="F24" s="576"/>
      <c r="G24" s="576"/>
      <c r="H24" s="576"/>
      <c r="I24" s="576"/>
      <c r="J24" s="576"/>
      <c r="K24" s="576"/>
      <c r="L24" s="576"/>
      <c r="M24" s="576"/>
      <c r="N24" s="517"/>
      <c r="O24" s="576"/>
      <c r="P24" s="576"/>
      <c r="Q24" s="576"/>
      <c r="R24" s="517"/>
      <c r="S24" s="576"/>
      <c r="T24" s="576"/>
    </row>
    <row r="25" spans="2:20" ht="13.5" thickBot="1">
      <c r="B25" s="574"/>
      <c r="C25" s="575"/>
      <c r="D25" s="576"/>
      <c r="E25" s="576"/>
      <c r="F25" s="576"/>
      <c r="G25" s="576"/>
      <c r="H25" s="576"/>
      <c r="I25" s="576"/>
      <c r="J25" s="576"/>
      <c r="K25" s="576"/>
      <c r="L25" s="576"/>
      <c r="M25" s="576"/>
      <c r="N25" s="517"/>
      <c r="O25" s="576"/>
      <c r="P25" s="576"/>
      <c r="Q25" s="576"/>
      <c r="R25" s="517"/>
      <c r="S25" s="576"/>
      <c r="T25" s="576"/>
    </row>
    <row r="26" spans="2:20">
      <c r="B26" s="1890" t="s">
        <v>305</v>
      </c>
      <c r="C26" s="1888" t="s">
        <v>210</v>
      </c>
      <c r="D26" s="520" t="s">
        <v>211</v>
      </c>
      <c r="E26" s="521"/>
      <c r="F26" s="521"/>
      <c r="G26" s="521"/>
      <c r="H26" s="522"/>
      <c r="I26" s="521" t="s">
        <v>212</v>
      </c>
      <c r="J26" s="523"/>
      <c r="K26" s="523"/>
      <c r="L26" s="523"/>
      <c r="M26" s="522"/>
      <c r="N26" s="517"/>
      <c r="O26" s="524" t="s">
        <v>211</v>
      </c>
      <c r="P26" s="525"/>
      <c r="Q26" s="526"/>
      <c r="R26" s="517"/>
      <c r="S26" s="524" t="s">
        <v>212</v>
      </c>
      <c r="T26" s="526"/>
    </row>
    <row r="27" spans="2:20">
      <c r="B27" s="1891"/>
      <c r="C27" s="1889"/>
      <c r="D27" s="528" t="s">
        <v>99</v>
      </c>
      <c r="E27" s="529" t="s">
        <v>100</v>
      </c>
      <c r="F27" s="529" t="s">
        <v>101</v>
      </c>
      <c r="G27" s="529" t="s">
        <v>102</v>
      </c>
      <c r="H27" s="530" t="s">
        <v>64</v>
      </c>
      <c r="I27" s="531" t="s">
        <v>213</v>
      </c>
      <c r="J27" s="529" t="s">
        <v>214</v>
      </c>
      <c r="K27" s="529" t="s">
        <v>215</v>
      </c>
      <c r="L27" s="529" t="s">
        <v>216</v>
      </c>
      <c r="M27" s="530" t="s">
        <v>217</v>
      </c>
      <c r="N27" s="517"/>
      <c r="O27" s="532" t="s">
        <v>218</v>
      </c>
      <c r="P27" s="533" t="s">
        <v>219</v>
      </c>
      <c r="Q27" s="534" t="s">
        <v>220</v>
      </c>
      <c r="R27" s="517"/>
      <c r="S27" s="532" t="s">
        <v>219</v>
      </c>
      <c r="T27" s="534" t="s">
        <v>221</v>
      </c>
    </row>
    <row r="28" spans="2:20">
      <c r="B28" s="577" t="s">
        <v>280</v>
      </c>
      <c r="C28" s="578"/>
      <c r="D28" s="579"/>
      <c r="E28" s="580"/>
      <c r="F28" s="580"/>
      <c r="G28" s="580"/>
      <c r="H28" s="581"/>
      <c r="I28" s="580"/>
      <c r="J28" s="580"/>
      <c r="K28" s="580"/>
      <c r="L28" s="580"/>
      <c r="M28" s="581"/>
      <c r="N28" s="517"/>
      <c r="O28" s="582"/>
      <c r="P28" s="583"/>
      <c r="Q28" s="584"/>
      <c r="R28" s="517"/>
      <c r="S28" s="579"/>
      <c r="T28" s="581"/>
    </row>
    <row r="29" spans="2:20">
      <c r="B29" s="585" t="s">
        <v>306</v>
      </c>
      <c r="C29" s="586" t="s">
        <v>223</v>
      </c>
      <c r="D29" s="587"/>
      <c r="E29" s="588"/>
      <c r="F29" s="588"/>
      <c r="G29" s="588"/>
      <c r="H29" s="589"/>
      <c r="I29" s="590">
        <f t="shared" ref="I29:M30" si="12">I225-I248</f>
        <v>0</v>
      </c>
      <c r="J29" s="591">
        <f t="shared" si="12"/>
        <v>0</v>
      </c>
      <c r="K29" s="591">
        <f t="shared" si="12"/>
        <v>0</v>
      </c>
      <c r="L29" s="591">
        <f t="shared" si="12"/>
        <v>0</v>
      </c>
      <c r="M29" s="592">
        <f t="shared" si="12"/>
        <v>0</v>
      </c>
      <c r="N29" s="517"/>
      <c r="O29" s="560"/>
      <c r="P29" s="561"/>
      <c r="Q29" s="562"/>
      <c r="R29" s="517"/>
      <c r="S29" s="560"/>
      <c r="T29" s="563"/>
    </row>
    <row r="30" spans="2:20">
      <c r="B30" s="585" t="s">
        <v>307</v>
      </c>
      <c r="C30" s="586" t="s">
        <v>223</v>
      </c>
      <c r="D30" s="587"/>
      <c r="E30" s="588"/>
      <c r="F30" s="588"/>
      <c r="G30" s="588"/>
      <c r="H30" s="589"/>
      <c r="I30" s="590">
        <f t="shared" si="12"/>
        <v>0</v>
      </c>
      <c r="J30" s="591">
        <f t="shared" si="12"/>
        <v>0</v>
      </c>
      <c r="K30" s="591">
        <f t="shared" si="12"/>
        <v>0</v>
      </c>
      <c r="L30" s="591">
        <f t="shared" si="12"/>
        <v>0</v>
      </c>
      <c r="M30" s="592">
        <f t="shared" si="12"/>
        <v>0</v>
      </c>
      <c r="N30" s="517"/>
      <c r="O30" s="560"/>
      <c r="P30" s="561"/>
      <c r="Q30" s="562"/>
      <c r="R30" s="517"/>
      <c r="S30" s="560"/>
      <c r="T30" s="563"/>
    </row>
    <row r="31" spans="2:20">
      <c r="B31" s="593" t="s">
        <v>268</v>
      </c>
      <c r="C31" s="586" t="s">
        <v>223</v>
      </c>
      <c r="D31" s="540">
        <f>D227-D250</f>
        <v>0</v>
      </c>
      <c r="E31" s="594">
        <f>E227-E250</f>
        <v>0</v>
      </c>
      <c r="F31" s="594">
        <f>F227-F250</f>
        <v>0</v>
      </c>
      <c r="G31" s="594">
        <f>G227-G250</f>
        <v>0</v>
      </c>
      <c r="H31" s="542">
        <f>H227-H250</f>
        <v>0</v>
      </c>
      <c r="I31" s="594">
        <f>SUM(I29:I30)</f>
        <v>0</v>
      </c>
      <c r="J31" s="541">
        <f>SUM(J29:J30)</f>
        <v>0</v>
      </c>
      <c r="K31" s="541">
        <f>SUM(K29:K30)</f>
        <v>0</v>
      </c>
      <c r="L31" s="541">
        <f>SUM(L29:L30)</f>
        <v>0</v>
      </c>
      <c r="M31" s="542">
        <f>SUM(M29:M30)</f>
        <v>0</v>
      </c>
      <c r="N31" s="517"/>
      <c r="O31" s="540">
        <f>SUM(D31:G31)</f>
        <v>0</v>
      </c>
      <c r="P31" s="541">
        <f>SUM(H31)</f>
        <v>0</v>
      </c>
      <c r="Q31" s="542">
        <f>SUM(D31:H31)</f>
        <v>0</v>
      </c>
      <c r="R31" s="517"/>
      <c r="S31" s="540">
        <f>SUM(I31:M31)</f>
        <v>0</v>
      </c>
      <c r="T31" s="165" t="str">
        <f>IF(Q31&lt;&gt;0,(S31-Q31)/Q31,"0")</f>
        <v>0</v>
      </c>
    </row>
    <row r="32" spans="2:20">
      <c r="B32" s="577" t="s">
        <v>282</v>
      </c>
      <c r="C32" s="595"/>
      <c r="D32" s="596"/>
      <c r="E32" s="597"/>
      <c r="F32" s="597"/>
      <c r="G32" s="597"/>
      <c r="H32" s="598"/>
      <c r="I32" s="597"/>
      <c r="J32" s="597"/>
      <c r="K32" s="597"/>
      <c r="L32" s="597"/>
      <c r="M32" s="598"/>
      <c r="N32" s="517"/>
      <c r="O32" s="599"/>
      <c r="P32" s="597"/>
      <c r="Q32" s="598"/>
      <c r="R32" s="517"/>
      <c r="S32" s="596"/>
      <c r="T32" s="598"/>
    </row>
    <row r="33" spans="2:20">
      <c r="B33" s="585" t="s">
        <v>308</v>
      </c>
      <c r="C33" s="586" t="s">
        <v>223</v>
      </c>
      <c r="D33" s="587"/>
      <c r="E33" s="588"/>
      <c r="F33" s="588"/>
      <c r="G33" s="588"/>
      <c r="H33" s="589"/>
      <c r="I33" s="590">
        <f t="shared" ref="I33:M34" si="13">I229-I252</f>
        <v>0</v>
      </c>
      <c r="J33" s="591">
        <f t="shared" si="13"/>
        <v>0</v>
      </c>
      <c r="K33" s="591">
        <f t="shared" si="13"/>
        <v>0</v>
      </c>
      <c r="L33" s="591">
        <f t="shared" si="13"/>
        <v>0</v>
      </c>
      <c r="M33" s="592">
        <f t="shared" si="13"/>
        <v>0</v>
      </c>
      <c r="N33" s="517"/>
      <c r="O33" s="560"/>
      <c r="P33" s="561"/>
      <c r="Q33" s="562"/>
      <c r="R33" s="517"/>
      <c r="S33" s="560"/>
      <c r="T33" s="563"/>
    </row>
    <row r="34" spans="2:20">
      <c r="B34" s="585" t="s">
        <v>309</v>
      </c>
      <c r="C34" s="586" t="s">
        <v>223</v>
      </c>
      <c r="D34" s="587"/>
      <c r="E34" s="588"/>
      <c r="F34" s="588"/>
      <c r="G34" s="588"/>
      <c r="H34" s="589"/>
      <c r="I34" s="590">
        <f t="shared" si="13"/>
        <v>0</v>
      </c>
      <c r="J34" s="591">
        <f t="shared" si="13"/>
        <v>0</v>
      </c>
      <c r="K34" s="591">
        <f t="shared" si="13"/>
        <v>0</v>
      </c>
      <c r="L34" s="591">
        <f t="shared" si="13"/>
        <v>0</v>
      </c>
      <c r="M34" s="592">
        <f t="shared" si="13"/>
        <v>0</v>
      </c>
      <c r="N34" s="517"/>
      <c r="O34" s="560"/>
      <c r="P34" s="561"/>
      <c r="Q34" s="562"/>
      <c r="R34" s="517"/>
      <c r="S34" s="560"/>
      <c r="T34" s="563"/>
    </row>
    <row r="35" spans="2:20">
      <c r="B35" s="593" t="s">
        <v>270</v>
      </c>
      <c r="C35" s="586" t="s">
        <v>223</v>
      </c>
      <c r="D35" s="540">
        <f>D231-D254</f>
        <v>0</v>
      </c>
      <c r="E35" s="594">
        <f>E231-E254</f>
        <v>0</v>
      </c>
      <c r="F35" s="594">
        <f>F231-F254</f>
        <v>0</v>
      </c>
      <c r="G35" s="594">
        <f>G231-G254</f>
        <v>0</v>
      </c>
      <c r="H35" s="542">
        <f>H231-H254</f>
        <v>0</v>
      </c>
      <c r="I35" s="594">
        <f>SUM(I33:I34)</f>
        <v>0</v>
      </c>
      <c r="J35" s="541">
        <f>SUM(J33:J34)</f>
        <v>0</v>
      </c>
      <c r="K35" s="541">
        <f>SUM(K33:K34)</f>
        <v>0</v>
      </c>
      <c r="L35" s="541">
        <f>SUM(L33:L34)</f>
        <v>0</v>
      </c>
      <c r="M35" s="542">
        <f>SUM(M33:M34)</f>
        <v>0</v>
      </c>
      <c r="N35" s="517"/>
      <c r="O35" s="540">
        <f>SUM(D35:G35)</f>
        <v>0</v>
      </c>
      <c r="P35" s="541">
        <f>SUM(H35)</f>
        <v>0</v>
      </c>
      <c r="Q35" s="542">
        <f>SUM(D35:H35)</f>
        <v>0</v>
      </c>
      <c r="R35" s="517"/>
      <c r="S35" s="540">
        <f>SUM(I35:M35)</f>
        <v>0</v>
      </c>
      <c r="T35" s="165" t="str">
        <f>IF(Q35&lt;&gt;0,(S35-Q35)/Q35,"0")</f>
        <v>0</v>
      </c>
    </row>
    <row r="36" spans="2:20">
      <c r="B36" s="577" t="s">
        <v>283</v>
      </c>
      <c r="C36" s="595"/>
      <c r="D36" s="596"/>
      <c r="E36" s="597"/>
      <c r="F36" s="597"/>
      <c r="G36" s="597"/>
      <c r="H36" s="598"/>
      <c r="I36" s="597"/>
      <c r="J36" s="597"/>
      <c r="K36" s="597"/>
      <c r="L36" s="597"/>
      <c r="M36" s="598"/>
      <c r="N36" s="517"/>
      <c r="O36" s="596"/>
      <c r="P36" s="597"/>
      <c r="Q36" s="598"/>
      <c r="R36" s="517"/>
      <c r="S36" s="596"/>
      <c r="T36" s="598"/>
    </row>
    <row r="37" spans="2:20">
      <c r="B37" s="585" t="s">
        <v>310</v>
      </c>
      <c r="C37" s="586" t="s">
        <v>223</v>
      </c>
      <c r="D37" s="587"/>
      <c r="E37" s="588"/>
      <c r="F37" s="588"/>
      <c r="G37" s="588"/>
      <c r="H37" s="589"/>
      <c r="I37" s="590">
        <f t="shared" ref="I37:M38" si="14">I233-I256</f>
        <v>0</v>
      </c>
      <c r="J37" s="591">
        <f t="shared" si="14"/>
        <v>0</v>
      </c>
      <c r="K37" s="591">
        <f t="shared" si="14"/>
        <v>0</v>
      </c>
      <c r="L37" s="591">
        <f t="shared" si="14"/>
        <v>0</v>
      </c>
      <c r="M37" s="592">
        <f t="shared" si="14"/>
        <v>0</v>
      </c>
      <c r="N37" s="517"/>
      <c r="O37" s="560"/>
      <c r="P37" s="561"/>
      <c r="Q37" s="562"/>
      <c r="R37" s="517"/>
      <c r="S37" s="560"/>
      <c r="T37" s="563"/>
    </row>
    <row r="38" spans="2:20">
      <c r="B38" s="585" t="s">
        <v>311</v>
      </c>
      <c r="C38" s="586" t="s">
        <v>223</v>
      </c>
      <c r="D38" s="587"/>
      <c r="E38" s="588"/>
      <c r="F38" s="588"/>
      <c r="G38" s="588"/>
      <c r="H38" s="589"/>
      <c r="I38" s="590">
        <f t="shared" si="14"/>
        <v>0</v>
      </c>
      <c r="J38" s="591">
        <f t="shared" si="14"/>
        <v>0</v>
      </c>
      <c r="K38" s="591">
        <f t="shared" si="14"/>
        <v>0</v>
      </c>
      <c r="L38" s="591">
        <f t="shared" si="14"/>
        <v>0</v>
      </c>
      <c r="M38" s="592">
        <f t="shared" si="14"/>
        <v>0</v>
      </c>
      <c r="N38" s="517"/>
      <c r="O38" s="560"/>
      <c r="P38" s="561"/>
      <c r="Q38" s="562"/>
      <c r="R38" s="517"/>
      <c r="S38" s="560"/>
      <c r="T38" s="563"/>
    </row>
    <row r="39" spans="2:20">
      <c r="B39" s="593" t="s">
        <v>272</v>
      </c>
      <c r="C39" s="586" t="s">
        <v>223</v>
      </c>
      <c r="D39" s="540">
        <f>D235-D258</f>
        <v>0</v>
      </c>
      <c r="E39" s="594">
        <f>E235-E258</f>
        <v>0</v>
      </c>
      <c r="F39" s="594">
        <f>F235-F258</f>
        <v>0</v>
      </c>
      <c r="G39" s="594">
        <f>G235-G258</f>
        <v>0</v>
      </c>
      <c r="H39" s="542">
        <f>H235-H258</f>
        <v>0</v>
      </c>
      <c r="I39" s="594">
        <f>SUM(I37:I38)</f>
        <v>0</v>
      </c>
      <c r="J39" s="541">
        <f>SUM(J37:J38)</f>
        <v>0</v>
      </c>
      <c r="K39" s="541">
        <f>SUM(K37:K38)</f>
        <v>0</v>
      </c>
      <c r="L39" s="541">
        <f>SUM(L37:L38)</f>
        <v>0</v>
      </c>
      <c r="M39" s="542">
        <f>SUM(M37:M38)</f>
        <v>0</v>
      </c>
      <c r="N39" s="517"/>
      <c r="O39" s="540">
        <f>SUM(D39:G39)</f>
        <v>0</v>
      </c>
      <c r="P39" s="541">
        <f>SUM(H39)</f>
        <v>0</v>
      </c>
      <c r="Q39" s="542">
        <f>SUM(D39:H39)</f>
        <v>0</v>
      </c>
      <c r="R39" s="517"/>
      <c r="S39" s="540">
        <f>SUM(I39:M39)</f>
        <v>0</v>
      </c>
      <c r="T39" s="165" t="str">
        <f>IF(Q39&lt;&gt;0,(S39-Q39)/Q39,"0")</f>
        <v>0</v>
      </c>
    </row>
    <row r="40" spans="2:20">
      <c r="B40" s="577" t="s">
        <v>284</v>
      </c>
      <c r="C40" s="595"/>
      <c r="D40" s="596"/>
      <c r="E40" s="597"/>
      <c r="F40" s="597"/>
      <c r="G40" s="597"/>
      <c r="H40" s="598"/>
      <c r="I40" s="597"/>
      <c r="J40" s="597"/>
      <c r="K40" s="597"/>
      <c r="L40" s="597"/>
      <c r="M40" s="598"/>
      <c r="N40" s="517"/>
      <c r="O40" s="596"/>
      <c r="P40" s="597"/>
      <c r="Q40" s="598"/>
      <c r="R40" s="517"/>
      <c r="S40" s="596"/>
      <c r="T40" s="598"/>
    </row>
    <row r="41" spans="2:20">
      <c r="B41" s="585" t="s">
        <v>312</v>
      </c>
      <c r="C41" s="586" t="s">
        <v>223</v>
      </c>
      <c r="D41" s="587"/>
      <c r="E41" s="588"/>
      <c r="F41" s="588"/>
      <c r="G41" s="588"/>
      <c r="H41" s="589"/>
      <c r="I41" s="590">
        <f t="shared" ref="I41:M42" si="15">I237-I260</f>
        <v>0</v>
      </c>
      <c r="J41" s="591">
        <f t="shared" si="15"/>
        <v>0</v>
      </c>
      <c r="K41" s="591">
        <f t="shared" si="15"/>
        <v>0</v>
      </c>
      <c r="L41" s="591">
        <f t="shared" si="15"/>
        <v>0</v>
      </c>
      <c r="M41" s="592">
        <f t="shared" si="15"/>
        <v>0</v>
      </c>
      <c r="N41" s="517"/>
      <c r="O41" s="560"/>
      <c r="P41" s="561"/>
      <c r="Q41" s="562"/>
      <c r="R41" s="517"/>
      <c r="S41" s="560"/>
      <c r="T41" s="563"/>
    </row>
    <row r="42" spans="2:20">
      <c r="B42" s="585" t="s">
        <v>313</v>
      </c>
      <c r="C42" s="586" t="s">
        <v>223</v>
      </c>
      <c r="D42" s="587"/>
      <c r="E42" s="588"/>
      <c r="F42" s="588"/>
      <c r="G42" s="588"/>
      <c r="H42" s="589"/>
      <c r="I42" s="590">
        <f t="shared" si="15"/>
        <v>0</v>
      </c>
      <c r="J42" s="591">
        <f t="shared" si="15"/>
        <v>0</v>
      </c>
      <c r="K42" s="591">
        <f t="shared" si="15"/>
        <v>0</v>
      </c>
      <c r="L42" s="591">
        <f t="shared" si="15"/>
        <v>0</v>
      </c>
      <c r="M42" s="592">
        <f t="shared" si="15"/>
        <v>0</v>
      </c>
      <c r="N42" s="517"/>
      <c r="O42" s="560"/>
      <c r="P42" s="561"/>
      <c r="Q42" s="562"/>
      <c r="R42" s="517"/>
      <c r="S42" s="560"/>
      <c r="T42" s="563"/>
    </row>
    <row r="43" spans="2:20" ht="13.5" thickBot="1">
      <c r="B43" s="600" t="s">
        <v>274</v>
      </c>
      <c r="C43" s="601" t="s">
        <v>223</v>
      </c>
      <c r="D43" s="571">
        <f>D239-D262</f>
        <v>0</v>
      </c>
      <c r="E43" s="602">
        <f>E239-E262</f>
        <v>0</v>
      </c>
      <c r="F43" s="602">
        <f>F239-F262</f>
        <v>0</v>
      </c>
      <c r="G43" s="602">
        <f>G239-G262</f>
        <v>0</v>
      </c>
      <c r="H43" s="573">
        <f>H239-H262</f>
        <v>0</v>
      </c>
      <c r="I43" s="602">
        <f>SUM(I41:I42)</f>
        <v>0</v>
      </c>
      <c r="J43" s="572">
        <f>SUM(J41:J42)</f>
        <v>0</v>
      </c>
      <c r="K43" s="572">
        <f>SUM(K41:K42)</f>
        <v>0</v>
      </c>
      <c r="L43" s="572">
        <f>SUM(L41:L42)</f>
        <v>0</v>
      </c>
      <c r="M43" s="573">
        <f>SUM(M41:M42)</f>
        <v>0</v>
      </c>
      <c r="N43" s="517"/>
      <c r="O43" s="540">
        <f>SUM(D43:G43)</f>
        <v>0</v>
      </c>
      <c r="P43" s="541">
        <f>SUM(H43)</f>
        <v>0</v>
      </c>
      <c r="Q43" s="542">
        <f>SUM(D43:H43)</f>
        <v>0</v>
      </c>
      <c r="R43" s="517"/>
      <c r="S43" s="540">
        <f>SUM(I43:M43)</f>
        <v>0</v>
      </c>
      <c r="T43" s="165" t="str">
        <f>IF(Q43&lt;&gt;0,(S43-Q43)/Q43,"0")</f>
        <v>0</v>
      </c>
    </row>
    <row r="44" spans="2:20">
      <c r="D44" s="514"/>
      <c r="E44" s="514"/>
      <c r="F44" s="514"/>
      <c r="G44" s="514"/>
      <c r="H44" s="514"/>
      <c r="I44" s="514"/>
      <c r="J44" s="514"/>
      <c r="K44" s="514"/>
      <c r="L44" s="514"/>
      <c r="M44" s="514"/>
      <c r="N44" s="514"/>
      <c r="O44" s="514"/>
      <c r="P44" s="514"/>
      <c r="Q44" s="514"/>
      <c r="R44" s="517"/>
      <c r="S44" s="514"/>
      <c r="T44" s="514"/>
    </row>
    <row r="45" spans="2:20">
      <c r="N45" s="517"/>
      <c r="O45" s="517"/>
      <c r="P45" s="517"/>
      <c r="Q45" s="517"/>
      <c r="R45" s="517"/>
      <c r="S45" s="517"/>
      <c r="T45" s="517"/>
    </row>
    <row r="46" spans="2:20">
      <c r="B46" s="518" t="s">
        <v>314</v>
      </c>
      <c r="N46" s="517"/>
      <c r="O46" s="517"/>
      <c r="P46" s="517"/>
      <c r="Q46" s="517"/>
      <c r="R46" s="517"/>
      <c r="S46" s="517"/>
      <c r="T46" s="517"/>
    </row>
    <row r="47" spans="2:20" ht="13.5" thickBot="1">
      <c r="B47" s="518"/>
      <c r="N47" s="517"/>
      <c r="O47" s="517"/>
      <c r="P47" s="517"/>
      <c r="Q47" s="517"/>
      <c r="R47" s="517"/>
      <c r="S47" s="517"/>
      <c r="T47" s="517"/>
    </row>
    <row r="48" spans="2:20">
      <c r="B48" s="1892"/>
      <c r="C48" s="1888" t="s">
        <v>210</v>
      </c>
      <c r="D48" s="520" t="s">
        <v>211</v>
      </c>
      <c r="E48" s="521"/>
      <c r="F48" s="521"/>
      <c r="G48" s="521"/>
      <c r="H48" s="522"/>
      <c r="I48" s="520" t="s">
        <v>212</v>
      </c>
      <c r="J48" s="523"/>
      <c r="K48" s="523"/>
      <c r="L48" s="523"/>
      <c r="M48" s="522"/>
      <c r="N48" s="517"/>
      <c r="O48" s="517"/>
      <c r="P48" s="517"/>
      <c r="Q48" s="517"/>
      <c r="R48" s="517"/>
      <c r="S48" s="517"/>
      <c r="T48" s="517"/>
    </row>
    <row r="49" spans="2:20">
      <c r="B49" s="1893"/>
      <c r="C49" s="1889"/>
      <c r="D49" s="528" t="s">
        <v>99</v>
      </c>
      <c r="E49" s="529" t="s">
        <v>100</v>
      </c>
      <c r="F49" s="529" t="s">
        <v>101</v>
      </c>
      <c r="G49" s="529" t="s">
        <v>102</v>
      </c>
      <c r="H49" s="530" t="s">
        <v>64</v>
      </c>
      <c r="I49" s="528" t="s">
        <v>213</v>
      </c>
      <c r="J49" s="529" t="s">
        <v>214</v>
      </c>
      <c r="K49" s="529" t="s">
        <v>215</v>
      </c>
      <c r="L49" s="529" t="s">
        <v>216</v>
      </c>
      <c r="M49" s="530" t="s">
        <v>217</v>
      </c>
      <c r="N49" s="517"/>
      <c r="O49" s="517"/>
      <c r="P49" s="517"/>
      <c r="Q49" s="517"/>
      <c r="R49" s="517"/>
      <c r="S49" s="517"/>
      <c r="T49" s="517"/>
    </row>
    <row r="50" spans="2:20">
      <c r="B50" s="603" t="s">
        <v>315</v>
      </c>
      <c r="C50" s="604"/>
      <c r="D50" s="605"/>
      <c r="E50" s="606"/>
      <c r="F50" s="606"/>
      <c r="G50" s="606"/>
      <c r="H50" s="607"/>
      <c r="I50" s="608"/>
      <c r="J50" s="609"/>
      <c r="K50" s="609"/>
      <c r="L50" s="609"/>
      <c r="M50" s="610"/>
      <c r="N50" s="611"/>
      <c r="O50" s="517"/>
      <c r="P50" s="517"/>
      <c r="Q50" s="517"/>
      <c r="R50" s="517"/>
      <c r="S50" s="517"/>
      <c r="T50" s="517"/>
    </row>
    <row r="51" spans="2:20">
      <c r="B51" s="612" t="s">
        <v>316</v>
      </c>
      <c r="C51" s="586"/>
      <c r="D51" s="613"/>
      <c r="E51" s="614"/>
      <c r="F51" s="614"/>
      <c r="G51" s="614"/>
      <c r="H51" s="615"/>
      <c r="I51" s="616"/>
      <c r="J51" s="617"/>
      <c r="K51" s="617"/>
      <c r="L51" s="617"/>
      <c r="M51" s="618"/>
      <c r="N51" s="611"/>
      <c r="O51" s="517"/>
      <c r="P51" s="517"/>
      <c r="Q51" s="517"/>
      <c r="R51" s="517"/>
      <c r="S51" s="517"/>
      <c r="T51" s="517"/>
    </row>
    <row r="52" spans="2:20">
      <c r="B52" s="619" t="s">
        <v>254</v>
      </c>
      <c r="C52" s="586" t="s">
        <v>255</v>
      </c>
      <c r="D52" s="620">
        <f t="shared" ref="D52:M56" si="16">D83+D114</f>
        <v>0</v>
      </c>
      <c r="E52" s="621">
        <f t="shared" si="16"/>
        <v>0</v>
      </c>
      <c r="F52" s="621">
        <f t="shared" si="16"/>
        <v>0</v>
      </c>
      <c r="G52" s="621">
        <f t="shared" si="16"/>
        <v>0</v>
      </c>
      <c r="H52" s="622">
        <f t="shared" si="16"/>
        <v>0</v>
      </c>
      <c r="I52" s="620">
        <f t="shared" si="16"/>
        <v>0</v>
      </c>
      <c r="J52" s="623">
        <f t="shared" si="16"/>
        <v>0</v>
      </c>
      <c r="K52" s="623">
        <f t="shared" si="16"/>
        <v>0</v>
      </c>
      <c r="L52" s="623">
        <f t="shared" si="16"/>
        <v>0</v>
      </c>
      <c r="M52" s="622">
        <f t="shared" si="16"/>
        <v>0</v>
      </c>
      <c r="N52" s="517"/>
      <c r="O52" s="517"/>
      <c r="P52" s="517"/>
      <c r="Q52" s="517"/>
      <c r="R52" s="517"/>
      <c r="S52" s="517"/>
      <c r="T52" s="517"/>
    </row>
    <row r="53" spans="2:20">
      <c r="B53" s="624" t="s">
        <v>317</v>
      </c>
      <c r="C53" s="586"/>
      <c r="D53" s="620">
        <f t="shared" si="16"/>
        <v>0</v>
      </c>
      <c r="E53" s="621">
        <f t="shared" si="16"/>
        <v>0</v>
      </c>
      <c r="F53" s="621">
        <f t="shared" si="16"/>
        <v>0</v>
      </c>
      <c r="G53" s="621">
        <f t="shared" si="16"/>
        <v>0</v>
      </c>
      <c r="H53" s="622">
        <f t="shared" si="16"/>
        <v>0</v>
      </c>
      <c r="I53" s="620">
        <f t="shared" si="16"/>
        <v>0</v>
      </c>
      <c r="J53" s="623">
        <f t="shared" si="16"/>
        <v>0</v>
      </c>
      <c r="K53" s="623">
        <f t="shared" si="16"/>
        <v>0</v>
      </c>
      <c r="L53" s="623">
        <f t="shared" si="16"/>
        <v>0</v>
      </c>
      <c r="M53" s="622">
        <f t="shared" si="16"/>
        <v>0</v>
      </c>
      <c r="N53" s="517"/>
      <c r="O53" s="517"/>
      <c r="P53" s="517"/>
      <c r="Q53" s="517"/>
      <c r="R53" s="517"/>
      <c r="S53" s="517"/>
      <c r="T53" s="517"/>
    </row>
    <row r="54" spans="2:20">
      <c r="B54" s="585" t="s">
        <v>318</v>
      </c>
      <c r="C54" s="586"/>
      <c r="D54" s="625"/>
      <c r="E54" s="626"/>
      <c r="F54" s="626"/>
      <c r="G54" s="626"/>
      <c r="H54" s="627"/>
      <c r="I54" s="620">
        <f t="shared" si="16"/>
        <v>0</v>
      </c>
      <c r="J54" s="623">
        <f t="shared" si="16"/>
        <v>0</v>
      </c>
      <c r="K54" s="623">
        <f t="shared" si="16"/>
        <v>0</v>
      </c>
      <c r="L54" s="623">
        <f t="shared" si="16"/>
        <v>0</v>
      </c>
      <c r="M54" s="622">
        <f t="shared" si="16"/>
        <v>0</v>
      </c>
      <c r="N54" s="517"/>
      <c r="O54" s="517"/>
      <c r="P54" s="517"/>
      <c r="Q54" s="517"/>
      <c r="R54" s="517"/>
      <c r="S54" s="517"/>
      <c r="T54" s="517"/>
    </row>
    <row r="55" spans="2:20">
      <c r="B55" s="585" t="s">
        <v>319</v>
      </c>
      <c r="C55" s="586" t="s">
        <v>255</v>
      </c>
      <c r="D55" s="625"/>
      <c r="E55" s="626"/>
      <c r="F55" s="626"/>
      <c r="G55" s="626"/>
      <c r="H55" s="627"/>
      <c r="I55" s="620">
        <f t="shared" si="16"/>
        <v>0</v>
      </c>
      <c r="J55" s="623">
        <f t="shared" si="16"/>
        <v>0</v>
      </c>
      <c r="K55" s="623">
        <f t="shared" si="16"/>
        <v>0</v>
      </c>
      <c r="L55" s="623">
        <f t="shared" si="16"/>
        <v>0</v>
      </c>
      <c r="M55" s="622">
        <f t="shared" si="16"/>
        <v>0</v>
      </c>
      <c r="N55" s="517"/>
      <c r="O55" s="517"/>
      <c r="P55" s="517"/>
      <c r="Q55" s="517"/>
      <c r="R55" s="517"/>
      <c r="S55" s="517"/>
      <c r="T55" s="517"/>
    </row>
    <row r="56" spans="2:20">
      <c r="B56" s="585" t="s">
        <v>320</v>
      </c>
      <c r="C56" s="586"/>
      <c r="D56" s="620">
        <f>D87+D118</f>
        <v>0</v>
      </c>
      <c r="E56" s="623">
        <f>E87+E118</f>
        <v>0</v>
      </c>
      <c r="F56" s="623">
        <f>F87+F118</f>
        <v>0</v>
      </c>
      <c r="G56" s="623">
        <f>G87+G118</f>
        <v>0</v>
      </c>
      <c r="H56" s="622">
        <f>H87+H118</f>
        <v>0</v>
      </c>
      <c r="I56" s="620">
        <f t="shared" si="16"/>
        <v>0</v>
      </c>
      <c r="J56" s="623">
        <f t="shared" si="16"/>
        <v>0</v>
      </c>
      <c r="K56" s="623">
        <f t="shared" si="16"/>
        <v>0</v>
      </c>
      <c r="L56" s="623">
        <f t="shared" si="16"/>
        <v>0</v>
      </c>
      <c r="M56" s="622">
        <f t="shared" si="16"/>
        <v>0</v>
      </c>
      <c r="N56" s="517"/>
      <c r="O56" s="517"/>
      <c r="P56" s="517"/>
      <c r="Q56" s="517"/>
      <c r="R56" s="517"/>
      <c r="S56" s="517"/>
      <c r="T56" s="517"/>
    </row>
    <row r="57" spans="2:20">
      <c r="B57" s="628" t="s">
        <v>321</v>
      </c>
      <c r="C57" s="586"/>
      <c r="D57" s="629"/>
      <c r="E57" s="630"/>
      <c r="F57" s="630"/>
      <c r="G57" s="630"/>
      <c r="H57" s="631"/>
      <c r="I57" s="632"/>
      <c r="J57" s="633"/>
      <c r="K57" s="633"/>
      <c r="L57" s="633"/>
      <c r="M57" s="634"/>
      <c r="N57" s="611"/>
      <c r="O57" s="517"/>
      <c r="P57" s="517"/>
      <c r="Q57" s="517"/>
      <c r="R57" s="517"/>
      <c r="S57" s="517"/>
      <c r="T57" s="517"/>
    </row>
    <row r="58" spans="2:20">
      <c r="B58" s="635" t="s">
        <v>254</v>
      </c>
      <c r="C58" s="586" t="s">
        <v>255</v>
      </c>
      <c r="D58" s="620">
        <f t="shared" ref="D58:M62" si="17">D89+D120</f>
        <v>0</v>
      </c>
      <c r="E58" s="621">
        <f t="shared" si="17"/>
        <v>0</v>
      </c>
      <c r="F58" s="621">
        <f t="shared" si="17"/>
        <v>0</v>
      </c>
      <c r="G58" s="621">
        <f t="shared" si="17"/>
        <v>0</v>
      </c>
      <c r="H58" s="622">
        <f t="shared" si="17"/>
        <v>0</v>
      </c>
      <c r="I58" s="620">
        <f t="shared" si="17"/>
        <v>0</v>
      </c>
      <c r="J58" s="623">
        <f t="shared" si="17"/>
        <v>0</v>
      </c>
      <c r="K58" s="623">
        <f t="shared" si="17"/>
        <v>0</v>
      </c>
      <c r="L58" s="623">
        <f t="shared" si="17"/>
        <v>0</v>
      </c>
      <c r="M58" s="622">
        <f t="shared" si="17"/>
        <v>0</v>
      </c>
      <c r="N58" s="517"/>
      <c r="O58" s="517"/>
      <c r="P58" s="517"/>
      <c r="Q58" s="517"/>
      <c r="R58" s="517"/>
      <c r="S58" s="517"/>
      <c r="T58" s="517"/>
    </row>
    <row r="59" spans="2:20">
      <c r="B59" s="636" t="s">
        <v>317</v>
      </c>
      <c r="C59" s="586"/>
      <c r="D59" s="620">
        <f t="shared" si="17"/>
        <v>0</v>
      </c>
      <c r="E59" s="621">
        <f t="shared" si="17"/>
        <v>0</v>
      </c>
      <c r="F59" s="621">
        <f t="shared" si="17"/>
        <v>0</v>
      </c>
      <c r="G59" s="621">
        <f t="shared" si="17"/>
        <v>0</v>
      </c>
      <c r="H59" s="622">
        <f t="shared" si="17"/>
        <v>0</v>
      </c>
      <c r="I59" s="620">
        <f t="shared" si="17"/>
        <v>0</v>
      </c>
      <c r="J59" s="623">
        <f t="shared" si="17"/>
        <v>0</v>
      </c>
      <c r="K59" s="623">
        <f t="shared" si="17"/>
        <v>0</v>
      </c>
      <c r="L59" s="623">
        <f t="shared" si="17"/>
        <v>0</v>
      </c>
      <c r="M59" s="622">
        <f t="shared" si="17"/>
        <v>0</v>
      </c>
      <c r="N59" s="517"/>
      <c r="O59" s="517"/>
      <c r="P59" s="517"/>
      <c r="Q59" s="517"/>
      <c r="R59" s="517"/>
      <c r="S59" s="517"/>
      <c r="T59" s="517"/>
    </row>
    <row r="60" spans="2:20">
      <c r="B60" s="585" t="s">
        <v>308</v>
      </c>
      <c r="C60" s="586"/>
      <c r="D60" s="637"/>
      <c r="E60" s="638"/>
      <c r="F60" s="638"/>
      <c r="G60" s="638"/>
      <c r="H60" s="639"/>
      <c r="I60" s="620">
        <f t="shared" si="17"/>
        <v>0</v>
      </c>
      <c r="J60" s="623">
        <f t="shared" si="17"/>
        <v>0</v>
      </c>
      <c r="K60" s="623">
        <f t="shared" si="17"/>
        <v>0</v>
      </c>
      <c r="L60" s="623">
        <f t="shared" si="17"/>
        <v>0</v>
      </c>
      <c r="M60" s="622">
        <f t="shared" si="17"/>
        <v>0</v>
      </c>
      <c r="N60" s="517"/>
      <c r="O60" s="517"/>
      <c r="P60" s="517"/>
      <c r="Q60" s="517"/>
      <c r="R60" s="517"/>
      <c r="S60" s="517"/>
      <c r="T60" s="517"/>
    </row>
    <row r="61" spans="2:20">
      <c r="B61" s="585" t="s">
        <v>309</v>
      </c>
      <c r="C61" s="586" t="s">
        <v>255</v>
      </c>
      <c r="D61" s="637"/>
      <c r="E61" s="638"/>
      <c r="F61" s="638"/>
      <c r="G61" s="638"/>
      <c r="H61" s="639"/>
      <c r="I61" s="620">
        <f t="shared" si="17"/>
        <v>0</v>
      </c>
      <c r="J61" s="623">
        <f t="shared" si="17"/>
        <v>0</v>
      </c>
      <c r="K61" s="623">
        <f t="shared" si="17"/>
        <v>0</v>
      </c>
      <c r="L61" s="623">
        <f t="shared" si="17"/>
        <v>0</v>
      </c>
      <c r="M61" s="622">
        <f t="shared" si="17"/>
        <v>0</v>
      </c>
      <c r="N61" s="517"/>
      <c r="O61" s="517"/>
      <c r="P61" s="517"/>
      <c r="Q61" s="517"/>
      <c r="R61" s="517"/>
      <c r="S61" s="517"/>
      <c r="T61" s="517"/>
    </row>
    <row r="62" spans="2:20">
      <c r="B62" s="585" t="s">
        <v>322</v>
      </c>
      <c r="C62" s="586"/>
      <c r="D62" s="620">
        <f>D93+D124</f>
        <v>0</v>
      </c>
      <c r="E62" s="623">
        <f>E93+E124</f>
        <v>0</v>
      </c>
      <c r="F62" s="623">
        <f>F93+F124</f>
        <v>0</v>
      </c>
      <c r="G62" s="623">
        <f>G93+G124</f>
        <v>0</v>
      </c>
      <c r="H62" s="622">
        <f>H93+H124</f>
        <v>0</v>
      </c>
      <c r="I62" s="620">
        <f t="shared" si="17"/>
        <v>0</v>
      </c>
      <c r="J62" s="623">
        <f t="shared" si="17"/>
        <v>0</v>
      </c>
      <c r="K62" s="623">
        <f t="shared" si="17"/>
        <v>0</v>
      </c>
      <c r="L62" s="623">
        <f t="shared" si="17"/>
        <v>0</v>
      </c>
      <c r="M62" s="622">
        <f t="shared" si="17"/>
        <v>0</v>
      </c>
      <c r="N62" s="517"/>
      <c r="O62" s="517"/>
      <c r="P62" s="517"/>
      <c r="Q62" s="517"/>
      <c r="R62" s="517"/>
      <c r="S62" s="517"/>
      <c r="T62" s="517"/>
    </row>
    <row r="63" spans="2:20">
      <c r="B63" s="628" t="s">
        <v>323</v>
      </c>
      <c r="C63" s="586"/>
      <c r="D63" s="629"/>
      <c r="E63" s="630"/>
      <c r="F63" s="630"/>
      <c r="G63" s="630"/>
      <c r="H63" s="631"/>
      <c r="I63" s="640"/>
      <c r="J63" s="641"/>
      <c r="K63" s="641"/>
      <c r="L63" s="641"/>
      <c r="M63" s="642"/>
      <c r="N63" s="611"/>
      <c r="O63" s="517"/>
      <c r="P63" s="517"/>
      <c r="Q63" s="517"/>
      <c r="R63" s="517"/>
      <c r="S63" s="517"/>
      <c r="T63" s="517"/>
    </row>
    <row r="64" spans="2:20">
      <c r="B64" s="635" t="s">
        <v>254</v>
      </c>
      <c r="C64" s="586" t="s">
        <v>255</v>
      </c>
      <c r="D64" s="620">
        <f t="shared" ref="D64:M68" si="18">D95+D126</f>
        <v>0</v>
      </c>
      <c r="E64" s="621">
        <f t="shared" si="18"/>
        <v>0</v>
      </c>
      <c r="F64" s="621">
        <f t="shared" si="18"/>
        <v>0</v>
      </c>
      <c r="G64" s="621">
        <f t="shared" si="18"/>
        <v>0</v>
      </c>
      <c r="H64" s="622">
        <f t="shared" si="18"/>
        <v>0</v>
      </c>
      <c r="I64" s="620">
        <f t="shared" si="18"/>
        <v>0</v>
      </c>
      <c r="J64" s="623">
        <f t="shared" si="18"/>
        <v>0</v>
      </c>
      <c r="K64" s="623">
        <f t="shared" si="18"/>
        <v>0</v>
      </c>
      <c r="L64" s="623">
        <f t="shared" si="18"/>
        <v>0</v>
      </c>
      <c r="M64" s="622">
        <f t="shared" si="18"/>
        <v>0</v>
      </c>
      <c r="N64" s="517"/>
      <c r="O64" s="517"/>
      <c r="P64" s="517"/>
      <c r="Q64" s="517"/>
      <c r="R64" s="517"/>
      <c r="S64" s="517"/>
      <c r="T64" s="517"/>
    </row>
    <row r="65" spans="1:20">
      <c r="B65" s="636" t="s">
        <v>317</v>
      </c>
      <c r="C65" s="586"/>
      <c r="D65" s="620">
        <f t="shared" si="18"/>
        <v>0</v>
      </c>
      <c r="E65" s="621">
        <f t="shared" si="18"/>
        <v>0</v>
      </c>
      <c r="F65" s="621">
        <f t="shared" si="18"/>
        <v>0</v>
      </c>
      <c r="G65" s="621">
        <f t="shared" si="18"/>
        <v>0</v>
      </c>
      <c r="H65" s="622">
        <f t="shared" si="18"/>
        <v>0</v>
      </c>
      <c r="I65" s="620">
        <f t="shared" si="18"/>
        <v>0</v>
      </c>
      <c r="J65" s="623">
        <f t="shared" si="18"/>
        <v>0</v>
      </c>
      <c r="K65" s="623">
        <f t="shared" si="18"/>
        <v>0</v>
      </c>
      <c r="L65" s="623">
        <f t="shared" si="18"/>
        <v>0</v>
      </c>
      <c r="M65" s="622">
        <f t="shared" si="18"/>
        <v>0</v>
      </c>
      <c r="N65" s="517"/>
      <c r="O65" s="517"/>
      <c r="P65" s="517"/>
      <c r="Q65" s="517"/>
      <c r="R65" s="517"/>
      <c r="S65" s="517"/>
      <c r="T65" s="517"/>
    </row>
    <row r="66" spans="1:20">
      <c r="B66" s="585" t="s">
        <v>310</v>
      </c>
      <c r="C66" s="586"/>
      <c r="D66" s="637"/>
      <c r="E66" s="638"/>
      <c r="F66" s="638"/>
      <c r="G66" s="638"/>
      <c r="H66" s="639"/>
      <c r="I66" s="620">
        <f t="shared" si="18"/>
        <v>0</v>
      </c>
      <c r="J66" s="623">
        <f t="shared" si="18"/>
        <v>0</v>
      </c>
      <c r="K66" s="623">
        <f t="shared" si="18"/>
        <v>0</v>
      </c>
      <c r="L66" s="623">
        <f t="shared" si="18"/>
        <v>0</v>
      </c>
      <c r="M66" s="622">
        <f t="shared" si="18"/>
        <v>0</v>
      </c>
      <c r="N66" s="517"/>
      <c r="O66" s="517"/>
      <c r="P66" s="517"/>
      <c r="Q66" s="517"/>
      <c r="R66" s="517"/>
      <c r="S66" s="517"/>
      <c r="T66" s="517"/>
    </row>
    <row r="67" spans="1:20">
      <c r="B67" s="585" t="s">
        <v>311</v>
      </c>
      <c r="C67" s="586" t="s">
        <v>255</v>
      </c>
      <c r="D67" s="637"/>
      <c r="E67" s="638"/>
      <c r="F67" s="638"/>
      <c r="G67" s="638"/>
      <c r="H67" s="639"/>
      <c r="I67" s="620">
        <f t="shared" si="18"/>
        <v>0</v>
      </c>
      <c r="J67" s="623">
        <f t="shared" si="18"/>
        <v>0</v>
      </c>
      <c r="K67" s="623">
        <f t="shared" si="18"/>
        <v>0</v>
      </c>
      <c r="L67" s="623">
        <f t="shared" si="18"/>
        <v>0</v>
      </c>
      <c r="M67" s="622">
        <f t="shared" si="18"/>
        <v>0</v>
      </c>
      <c r="N67" s="517"/>
      <c r="O67" s="517"/>
      <c r="P67" s="517"/>
      <c r="Q67" s="517"/>
      <c r="R67" s="517"/>
      <c r="S67" s="517"/>
      <c r="T67" s="517"/>
    </row>
    <row r="68" spans="1:20">
      <c r="B68" s="585" t="s">
        <v>324</v>
      </c>
      <c r="C68" s="586"/>
      <c r="D68" s="620">
        <f>D99+D130</f>
        <v>0</v>
      </c>
      <c r="E68" s="623">
        <f>E99+E130</f>
        <v>0</v>
      </c>
      <c r="F68" s="623">
        <f>F99+F130</f>
        <v>0</v>
      </c>
      <c r="G68" s="623">
        <f>G99+G130</f>
        <v>0</v>
      </c>
      <c r="H68" s="622">
        <f>H99+H130</f>
        <v>0</v>
      </c>
      <c r="I68" s="620">
        <f t="shared" si="18"/>
        <v>0</v>
      </c>
      <c r="J68" s="623">
        <f t="shared" si="18"/>
        <v>0</v>
      </c>
      <c r="K68" s="623">
        <f t="shared" si="18"/>
        <v>0</v>
      </c>
      <c r="L68" s="623">
        <f t="shared" si="18"/>
        <v>0</v>
      </c>
      <c r="M68" s="622">
        <f t="shared" si="18"/>
        <v>0</v>
      </c>
      <c r="N68" s="517"/>
      <c r="O68" s="517"/>
      <c r="P68" s="517"/>
      <c r="Q68" s="517"/>
      <c r="R68" s="517"/>
      <c r="S68" s="517"/>
      <c r="T68" s="517"/>
    </row>
    <row r="69" spans="1:20">
      <c r="B69" s="628" t="s">
        <v>325</v>
      </c>
      <c r="C69" s="586"/>
      <c r="D69" s="629"/>
      <c r="E69" s="630"/>
      <c r="F69" s="630"/>
      <c r="G69" s="630"/>
      <c r="H69" s="631"/>
      <c r="I69" s="640"/>
      <c r="J69" s="641"/>
      <c r="K69" s="641"/>
      <c r="L69" s="641"/>
      <c r="M69" s="642"/>
      <c r="N69" s="611"/>
      <c r="O69" s="517"/>
      <c r="P69" s="517"/>
      <c r="Q69" s="517"/>
      <c r="R69" s="517"/>
      <c r="S69" s="517"/>
      <c r="T69" s="517"/>
    </row>
    <row r="70" spans="1:20">
      <c r="B70" s="635" t="s">
        <v>254</v>
      </c>
      <c r="C70" s="586" t="s">
        <v>255</v>
      </c>
      <c r="D70" s="643">
        <f t="shared" ref="D70:M74" si="19">D101+D132</f>
        <v>0</v>
      </c>
      <c r="E70" s="644">
        <f t="shared" si="19"/>
        <v>0</v>
      </c>
      <c r="F70" s="644">
        <f t="shared" si="19"/>
        <v>0</v>
      </c>
      <c r="G70" s="644">
        <f t="shared" si="19"/>
        <v>0</v>
      </c>
      <c r="H70" s="645">
        <f t="shared" si="19"/>
        <v>0</v>
      </c>
      <c r="I70" s="643">
        <f t="shared" si="19"/>
        <v>0</v>
      </c>
      <c r="J70" s="646">
        <f t="shared" si="19"/>
        <v>0</v>
      </c>
      <c r="K70" s="646">
        <f t="shared" si="19"/>
        <v>0</v>
      </c>
      <c r="L70" s="646">
        <f t="shared" si="19"/>
        <v>0</v>
      </c>
      <c r="M70" s="645">
        <f t="shared" si="19"/>
        <v>0</v>
      </c>
      <c r="N70" s="517"/>
      <c r="O70" s="517"/>
      <c r="P70" s="517"/>
      <c r="Q70" s="517"/>
      <c r="R70" s="517"/>
      <c r="S70" s="517"/>
      <c r="T70" s="517"/>
    </row>
    <row r="71" spans="1:20">
      <c r="B71" s="636" t="s">
        <v>317</v>
      </c>
      <c r="C71" s="586"/>
      <c r="D71" s="643">
        <f t="shared" si="19"/>
        <v>0</v>
      </c>
      <c r="E71" s="644">
        <f t="shared" si="19"/>
        <v>0</v>
      </c>
      <c r="F71" s="644">
        <f t="shared" si="19"/>
        <v>0</v>
      </c>
      <c r="G71" s="644">
        <f t="shared" si="19"/>
        <v>0</v>
      </c>
      <c r="H71" s="645">
        <f t="shared" si="19"/>
        <v>0</v>
      </c>
      <c r="I71" s="643">
        <f t="shared" si="19"/>
        <v>0</v>
      </c>
      <c r="J71" s="646">
        <f t="shared" si="19"/>
        <v>0</v>
      </c>
      <c r="K71" s="646">
        <f t="shared" si="19"/>
        <v>0</v>
      </c>
      <c r="L71" s="646">
        <f t="shared" si="19"/>
        <v>0</v>
      </c>
      <c r="M71" s="645">
        <f t="shared" si="19"/>
        <v>0</v>
      </c>
      <c r="N71" s="517"/>
      <c r="O71" s="517"/>
      <c r="P71" s="517"/>
      <c r="Q71" s="517"/>
      <c r="R71" s="517"/>
      <c r="S71" s="517"/>
      <c r="T71" s="517"/>
    </row>
    <row r="72" spans="1:20">
      <c r="B72" s="585" t="s">
        <v>312</v>
      </c>
      <c r="C72" s="586"/>
      <c r="D72" s="647"/>
      <c r="E72" s="648"/>
      <c r="F72" s="648"/>
      <c r="G72" s="648"/>
      <c r="H72" s="649"/>
      <c r="I72" s="643">
        <f t="shared" si="19"/>
        <v>0</v>
      </c>
      <c r="J72" s="646">
        <f t="shared" si="19"/>
        <v>0</v>
      </c>
      <c r="K72" s="646">
        <f t="shared" si="19"/>
        <v>0</v>
      </c>
      <c r="L72" s="646">
        <f t="shared" si="19"/>
        <v>0</v>
      </c>
      <c r="M72" s="645">
        <f t="shared" si="19"/>
        <v>0</v>
      </c>
      <c r="N72" s="517"/>
      <c r="O72" s="517"/>
      <c r="P72" s="517"/>
      <c r="Q72" s="517"/>
      <c r="R72" s="517"/>
      <c r="S72" s="517"/>
      <c r="T72" s="517"/>
    </row>
    <row r="73" spans="1:20">
      <c r="B73" s="585" t="s">
        <v>313</v>
      </c>
      <c r="C73" s="586" t="s">
        <v>255</v>
      </c>
      <c r="D73" s="647"/>
      <c r="E73" s="648"/>
      <c r="F73" s="648"/>
      <c r="G73" s="648"/>
      <c r="H73" s="649"/>
      <c r="I73" s="643">
        <f t="shared" si="19"/>
        <v>0</v>
      </c>
      <c r="J73" s="646">
        <f t="shared" si="19"/>
        <v>0</v>
      </c>
      <c r="K73" s="646">
        <f t="shared" si="19"/>
        <v>0</v>
      </c>
      <c r="L73" s="646">
        <f t="shared" si="19"/>
        <v>0</v>
      </c>
      <c r="M73" s="645">
        <f t="shared" si="19"/>
        <v>0</v>
      </c>
      <c r="N73" s="517"/>
      <c r="O73" s="517"/>
      <c r="P73" s="517"/>
      <c r="Q73" s="517"/>
      <c r="R73" s="517"/>
      <c r="S73" s="517"/>
      <c r="T73" s="517"/>
    </row>
    <row r="74" spans="1:20">
      <c r="B74" s="585" t="s">
        <v>326</v>
      </c>
      <c r="C74" s="586"/>
      <c r="D74" s="643">
        <f>D105+D136</f>
        <v>0</v>
      </c>
      <c r="E74" s="644">
        <f>E105+E136</f>
        <v>0</v>
      </c>
      <c r="F74" s="644">
        <f>F105+F136</f>
        <v>0</v>
      </c>
      <c r="G74" s="644">
        <f>G105+G136</f>
        <v>0</v>
      </c>
      <c r="H74" s="645">
        <f>H105+H136</f>
        <v>0</v>
      </c>
      <c r="I74" s="643">
        <f t="shared" si="19"/>
        <v>0</v>
      </c>
      <c r="J74" s="646">
        <f t="shared" si="19"/>
        <v>0</v>
      </c>
      <c r="K74" s="646">
        <f t="shared" si="19"/>
        <v>0</v>
      </c>
      <c r="L74" s="646">
        <f t="shared" si="19"/>
        <v>0</v>
      </c>
      <c r="M74" s="645">
        <f t="shared" si="19"/>
        <v>0</v>
      </c>
      <c r="N74" s="517"/>
      <c r="O74" s="517"/>
      <c r="P74" s="517"/>
      <c r="Q74" s="517"/>
      <c r="R74" s="517"/>
      <c r="S74" s="517"/>
      <c r="T74" s="517"/>
    </row>
    <row r="75" spans="1:20" ht="13.5" thickBot="1">
      <c r="B75" s="650" t="s">
        <v>261</v>
      </c>
      <c r="C75" s="601" t="s">
        <v>255</v>
      </c>
      <c r="D75" s="651">
        <f t="shared" ref="D75:M75" si="20">SUM(D52:D55,D58:D61,D64:D67,D70:D73)</f>
        <v>0</v>
      </c>
      <c r="E75" s="652">
        <f t="shared" si="20"/>
        <v>0</v>
      </c>
      <c r="F75" s="652">
        <f t="shared" si="20"/>
        <v>0</v>
      </c>
      <c r="G75" s="652">
        <f t="shared" si="20"/>
        <v>0</v>
      </c>
      <c r="H75" s="653">
        <f t="shared" si="20"/>
        <v>0</v>
      </c>
      <c r="I75" s="651">
        <f t="shared" si="20"/>
        <v>0</v>
      </c>
      <c r="J75" s="652">
        <f t="shared" si="20"/>
        <v>0</v>
      </c>
      <c r="K75" s="652">
        <f t="shared" si="20"/>
        <v>0</v>
      </c>
      <c r="L75" s="652">
        <f t="shared" si="20"/>
        <v>0</v>
      </c>
      <c r="M75" s="653">
        <f t="shared" si="20"/>
        <v>0</v>
      </c>
      <c r="N75" s="654"/>
      <c r="O75" s="517"/>
      <c r="P75" s="517"/>
      <c r="Q75" s="517"/>
      <c r="R75" s="517"/>
      <c r="S75" s="517"/>
      <c r="T75" s="517"/>
    </row>
    <row r="76" spans="1:20">
      <c r="B76" s="655"/>
      <c r="C76" s="656"/>
      <c r="D76" s="517"/>
      <c r="E76" s="517"/>
      <c r="F76" s="517"/>
      <c r="G76" s="517"/>
      <c r="H76" s="517"/>
      <c r="I76" s="517"/>
      <c r="J76" s="517"/>
      <c r="K76" s="517"/>
      <c r="L76" s="517"/>
      <c r="M76" s="517"/>
      <c r="N76" s="517"/>
      <c r="O76" s="517"/>
      <c r="P76" s="517"/>
      <c r="Q76" s="517"/>
      <c r="R76" s="517"/>
      <c r="S76" s="517"/>
      <c r="T76" s="517"/>
    </row>
    <row r="77" spans="1:20">
      <c r="B77" s="518" t="s">
        <v>327</v>
      </c>
      <c r="N77" s="517"/>
      <c r="O77" s="517"/>
      <c r="P77" s="517"/>
      <c r="Q77" s="517"/>
      <c r="R77" s="517"/>
      <c r="S77" s="517"/>
      <c r="T77" s="517"/>
    </row>
    <row r="78" spans="1:20" ht="13.5" thickBot="1">
      <c r="B78" s="518"/>
      <c r="N78" s="517"/>
      <c r="O78" s="517"/>
      <c r="P78" s="517"/>
      <c r="Q78" s="517"/>
      <c r="R78" s="517"/>
      <c r="S78" s="517"/>
      <c r="T78" s="517"/>
    </row>
    <row r="79" spans="1:20">
      <c r="A79" s="657"/>
      <c r="B79" s="1892"/>
      <c r="C79" s="1888" t="s">
        <v>210</v>
      </c>
      <c r="D79" s="520" t="s">
        <v>211</v>
      </c>
      <c r="E79" s="521"/>
      <c r="F79" s="521"/>
      <c r="G79" s="521"/>
      <c r="H79" s="522"/>
      <c r="I79" s="520" t="s">
        <v>212</v>
      </c>
      <c r="J79" s="523"/>
      <c r="K79" s="523"/>
      <c r="L79" s="522"/>
      <c r="M79" s="522"/>
      <c r="N79" s="517"/>
      <c r="O79" s="517"/>
      <c r="P79" s="517"/>
      <c r="Q79" s="517"/>
      <c r="R79" s="517"/>
      <c r="S79" s="517"/>
      <c r="T79" s="517"/>
    </row>
    <row r="80" spans="1:20">
      <c r="A80" s="657"/>
      <c r="B80" s="1893"/>
      <c r="C80" s="1889"/>
      <c r="D80" s="528" t="s">
        <v>99</v>
      </c>
      <c r="E80" s="529" t="s">
        <v>100</v>
      </c>
      <c r="F80" s="529" t="s">
        <v>101</v>
      </c>
      <c r="G80" s="529" t="s">
        <v>102</v>
      </c>
      <c r="H80" s="530" t="s">
        <v>64</v>
      </c>
      <c r="I80" s="528" t="s">
        <v>213</v>
      </c>
      <c r="J80" s="529" t="s">
        <v>214</v>
      </c>
      <c r="K80" s="529" t="s">
        <v>215</v>
      </c>
      <c r="L80" s="533" t="s">
        <v>216</v>
      </c>
      <c r="M80" s="658" t="s">
        <v>217</v>
      </c>
      <c r="N80" s="517"/>
      <c r="O80" s="517"/>
      <c r="P80" s="517"/>
      <c r="Q80" s="517"/>
      <c r="R80" s="517"/>
      <c r="S80" s="517"/>
      <c r="T80" s="517"/>
    </row>
    <row r="81" spans="1:20">
      <c r="A81" s="657"/>
      <c r="B81" s="603" t="s">
        <v>315</v>
      </c>
      <c r="C81" s="604"/>
      <c r="D81" s="605"/>
      <c r="E81" s="606"/>
      <c r="F81" s="606"/>
      <c r="G81" s="606"/>
      <c r="H81" s="607"/>
      <c r="I81" s="608"/>
      <c r="J81" s="609"/>
      <c r="K81" s="609"/>
      <c r="L81" s="659"/>
      <c r="M81" s="610"/>
      <c r="N81" s="611"/>
      <c r="O81" s="517"/>
      <c r="P81" s="517"/>
      <c r="Q81" s="517"/>
      <c r="R81" s="517"/>
      <c r="S81" s="517"/>
      <c r="T81" s="517"/>
    </row>
    <row r="82" spans="1:20">
      <c r="A82" s="657"/>
      <c r="B82" s="612" t="s">
        <v>316</v>
      </c>
      <c r="C82" s="660"/>
      <c r="D82" s="613"/>
      <c r="E82" s="614"/>
      <c r="F82" s="614"/>
      <c r="G82" s="614"/>
      <c r="H82" s="615"/>
      <c r="I82" s="616"/>
      <c r="J82" s="617"/>
      <c r="K82" s="617"/>
      <c r="L82" s="661"/>
      <c r="M82" s="618"/>
      <c r="N82" s="611"/>
      <c r="O82" s="517"/>
      <c r="P82" s="517"/>
      <c r="Q82" s="517"/>
      <c r="R82" s="517"/>
      <c r="S82" s="517"/>
      <c r="T82" s="517"/>
    </row>
    <row r="83" spans="1:20">
      <c r="A83" s="657"/>
      <c r="B83" s="619" t="s">
        <v>254</v>
      </c>
      <c r="C83" s="586" t="s">
        <v>255</v>
      </c>
      <c r="D83" s="662"/>
      <c r="E83" s="663"/>
      <c r="F83" s="663"/>
      <c r="G83" s="663"/>
      <c r="H83" s="664"/>
      <c r="I83" s="662"/>
      <c r="J83" s="665"/>
      <c r="K83" s="665"/>
      <c r="L83" s="665"/>
      <c r="M83" s="666"/>
      <c r="N83" s="517"/>
      <c r="O83" s="517"/>
      <c r="P83" s="517"/>
      <c r="Q83" s="517"/>
      <c r="R83" s="517"/>
      <c r="S83" s="517"/>
      <c r="T83" s="517"/>
    </row>
    <row r="84" spans="1:20">
      <c r="A84" s="657"/>
      <c r="B84" s="624" t="s">
        <v>317</v>
      </c>
      <c r="C84" s="586"/>
      <c r="D84" s="662"/>
      <c r="E84" s="663"/>
      <c r="F84" s="663"/>
      <c r="G84" s="663"/>
      <c r="H84" s="664"/>
      <c r="I84" s="662"/>
      <c r="J84" s="665"/>
      <c r="K84" s="665"/>
      <c r="L84" s="665"/>
      <c r="M84" s="666"/>
      <c r="N84" s="517"/>
      <c r="O84" s="517"/>
      <c r="P84" s="517"/>
      <c r="Q84" s="517"/>
      <c r="R84" s="517"/>
      <c r="S84" s="517"/>
      <c r="T84" s="517"/>
    </row>
    <row r="85" spans="1:20">
      <c r="A85" s="657"/>
      <c r="B85" s="585" t="s">
        <v>318</v>
      </c>
      <c r="C85" s="586"/>
      <c r="D85" s="637"/>
      <c r="E85" s="638"/>
      <c r="F85" s="638"/>
      <c r="G85" s="638"/>
      <c r="H85" s="639"/>
      <c r="I85" s="662"/>
      <c r="J85" s="665"/>
      <c r="K85" s="665"/>
      <c r="L85" s="665"/>
      <c r="M85" s="666"/>
      <c r="N85" s="517"/>
      <c r="O85" s="517"/>
      <c r="P85" s="517"/>
      <c r="Q85" s="517"/>
      <c r="R85" s="517"/>
      <c r="S85" s="517"/>
      <c r="T85" s="517"/>
    </row>
    <row r="86" spans="1:20">
      <c r="A86" s="657"/>
      <c r="B86" s="585" t="s">
        <v>319</v>
      </c>
      <c r="C86" s="586" t="s">
        <v>255</v>
      </c>
      <c r="D86" s="637"/>
      <c r="E86" s="638"/>
      <c r="F86" s="638"/>
      <c r="G86" s="638"/>
      <c r="H86" s="639"/>
      <c r="I86" s="662"/>
      <c r="J86" s="665"/>
      <c r="K86" s="665"/>
      <c r="L86" s="665"/>
      <c r="M86" s="666"/>
      <c r="N86" s="517"/>
      <c r="O86" s="517"/>
      <c r="P86" s="517"/>
      <c r="Q86" s="517"/>
      <c r="R86" s="517"/>
      <c r="S86" s="517"/>
      <c r="T86" s="517"/>
    </row>
    <row r="87" spans="1:20">
      <c r="A87" s="657"/>
      <c r="B87" s="585" t="s">
        <v>320</v>
      </c>
      <c r="C87" s="586"/>
      <c r="D87" s="662"/>
      <c r="E87" s="665"/>
      <c r="F87" s="665"/>
      <c r="G87" s="665"/>
      <c r="H87" s="664"/>
      <c r="I87" s="667">
        <f>SUM(I85:I86)</f>
        <v>0</v>
      </c>
      <c r="J87" s="668">
        <f>SUM(J85:J86)</f>
        <v>0</v>
      </c>
      <c r="K87" s="668">
        <f>SUM(K85:K86)</f>
        <v>0</v>
      </c>
      <c r="L87" s="668">
        <f>SUM(L85:L86)</f>
        <v>0</v>
      </c>
      <c r="M87" s="669">
        <f>SUM(M85:M86)</f>
        <v>0</v>
      </c>
      <c r="N87" s="517"/>
      <c r="O87" s="517"/>
      <c r="P87" s="517"/>
      <c r="Q87" s="517"/>
      <c r="R87" s="517"/>
      <c r="S87" s="517"/>
      <c r="T87" s="517"/>
    </row>
    <row r="88" spans="1:20">
      <c r="A88" s="657"/>
      <c r="B88" s="628" t="s">
        <v>328</v>
      </c>
      <c r="C88" s="586"/>
      <c r="D88" s="629"/>
      <c r="E88" s="630"/>
      <c r="F88" s="630"/>
      <c r="G88" s="630"/>
      <c r="H88" s="631"/>
      <c r="I88" s="632"/>
      <c r="J88" s="633"/>
      <c r="K88" s="633"/>
      <c r="L88" s="670"/>
      <c r="M88" s="634"/>
      <c r="N88" s="611"/>
      <c r="O88" s="517"/>
      <c r="P88" s="517"/>
      <c r="Q88" s="517"/>
      <c r="R88" s="517"/>
      <c r="S88" s="517"/>
      <c r="T88" s="517"/>
    </row>
    <row r="89" spans="1:20">
      <c r="A89" s="657"/>
      <c r="B89" s="635" t="s">
        <v>254</v>
      </c>
      <c r="C89" s="586" t="s">
        <v>255</v>
      </c>
      <c r="D89" s="662"/>
      <c r="E89" s="663"/>
      <c r="F89" s="663"/>
      <c r="G89" s="663"/>
      <c r="H89" s="664"/>
      <c r="I89" s="662"/>
      <c r="J89" s="665"/>
      <c r="K89" s="665"/>
      <c r="L89" s="665"/>
      <c r="M89" s="666"/>
      <c r="N89" s="517"/>
      <c r="O89" s="517"/>
      <c r="P89" s="517"/>
      <c r="Q89" s="517"/>
      <c r="R89" s="517"/>
      <c r="S89" s="517"/>
      <c r="T89" s="517"/>
    </row>
    <row r="90" spans="1:20">
      <c r="A90" s="657"/>
      <c r="B90" s="636" t="s">
        <v>317</v>
      </c>
      <c r="C90" s="586"/>
      <c r="D90" s="662"/>
      <c r="E90" s="663"/>
      <c r="F90" s="663"/>
      <c r="G90" s="663"/>
      <c r="H90" s="664"/>
      <c r="I90" s="662"/>
      <c r="J90" s="665"/>
      <c r="K90" s="665"/>
      <c r="L90" s="665"/>
      <c r="M90" s="666"/>
      <c r="N90" s="517"/>
      <c r="O90" s="517"/>
      <c r="P90" s="517"/>
      <c r="Q90" s="517"/>
      <c r="R90" s="517"/>
      <c r="S90" s="517"/>
      <c r="T90" s="517"/>
    </row>
    <row r="91" spans="1:20">
      <c r="A91" s="657"/>
      <c r="B91" s="585" t="s">
        <v>308</v>
      </c>
      <c r="C91" s="586"/>
      <c r="D91" s="637"/>
      <c r="E91" s="638"/>
      <c r="F91" s="638"/>
      <c r="G91" s="638"/>
      <c r="H91" s="639"/>
      <c r="I91" s="662"/>
      <c r="J91" s="665"/>
      <c r="K91" s="665"/>
      <c r="L91" s="665"/>
      <c r="M91" s="666"/>
      <c r="N91" s="517"/>
      <c r="O91" s="517"/>
      <c r="P91" s="517"/>
      <c r="Q91" s="517"/>
      <c r="R91" s="517"/>
      <c r="S91" s="517"/>
      <c r="T91" s="517"/>
    </row>
    <row r="92" spans="1:20">
      <c r="A92" s="657"/>
      <c r="B92" s="585" t="s">
        <v>309</v>
      </c>
      <c r="C92" s="586" t="s">
        <v>255</v>
      </c>
      <c r="D92" s="637"/>
      <c r="E92" s="638"/>
      <c r="F92" s="638"/>
      <c r="G92" s="638"/>
      <c r="H92" s="639"/>
      <c r="I92" s="662"/>
      <c r="J92" s="665"/>
      <c r="K92" s="665"/>
      <c r="L92" s="665"/>
      <c r="M92" s="666"/>
      <c r="N92" s="517"/>
      <c r="O92" s="517"/>
      <c r="P92" s="517"/>
      <c r="Q92" s="517"/>
      <c r="R92" s="517"/>
      <c r="S92" s="517"/>
      <c r="T92" s="517"/>
    </row>
    <row r="93" spans="1:20">
      <c r="A93" s="657"/>
      <c r="B93" s="585" t="s">
        <v>322</v>
      </c>
      <c r="C93" s="586"/>
      <c r="D93" s="662"/>
      <c r="E93" s="665"/>
      <c r="F93" s="665"/>
      <c r="G93" s="665"/>
      <c r="H93" s="664"/>
      <c r="I93" s="667">
        <f>SUM(I91:I92)</f>
        <v>0</v>
      </c>
      <c r="J93" s="667">
        <f>SUM(J91:J92)</f>
        <v>0</v>
      </c>
      <c r="K93" s="667">
        <f>SUM(K91:K92)</f>
        <v>0</v>
      </c>
      <c r="L93" s="667">
        <f>SUM(L91:L92)</f>
        <v>0</v>
      </c>
      <c r="M93" s="667">
        <f>SUM(M91:M92)</f>
        <v>0</v>
      </c>
      <c r="N93" s="517"/>
      <c r="O93" s="517"/>
      <c r="P93" s="517"/>
      <c r="Q93" s="517"/>
      <c r="R93" s="517"/>
      <c r="S93" s="517"/>
      <c r="T93" s="517"/>
    </row>
    <row r="94" spans="1:20">
      <c r="A94" s="657"/>
      <c r="B94" s="628" t="s">
        <v>329</v>
      </c>
      <c r="C94" s="586"/>
      <c r="D94" s="629"/>
      <c r="E94" s="630"/>
      <c r="F94" s="630"/>
      <c r="G94" s="630"/>
      <c r="H94" s="631"/>
      <c r="I94" s="632"/>
      <c r="J94" s="633"/>
      <c r="K94" s="633"/>
      <c r="L94" s="670"/>
      <c r="M94" s="634"/>
      <c r="N94" s="611"/>
      <c r="O94" s="517"/>
      <c r="P94" s="517"/>
      <c r="Q94" s="517"/>
      <c r="R94" s="517"/>
      <c r="S94" s="517"/>
      <c r="T94" s="517"/>
    </row>
    <row r="95" spans="1:20">
      <c r="A95" s="657"/>
      <c r="B95" s="635" t="s">
        <v>254</v>
      </c>
      <c r="C95" s="586" t="s">
        <v>255</v>
      </c>
      <c r="D95" s="662"/>
      <c r="E95" s="663"/>
      <c r="F95" s="663"/>
      <c r="G95" s="663"/>
      <c r="H95" s="664"/>
      <c r="I95" s="662"/>
      <c r="J95" s="665"/>
      <c r="K95" s="665"/>
      <c r="L95" s="665"/>
      <c r="M95" s="666"/>
      <c r="N95" s="517"/>
      <c r="O95" s="517"/>
      <c r="P95" s="517"/>
      <c r="Q95" s="517"/>
      <c r="R95" s="517"/>
      <c r="S95" s="517"/>
      <c r="T95" s="517"/>
    </row>
    <row r="96" spans="1:20">
      <c r="A96" s="657"/>
      <c r="B96" s="636" t="s">
        <v>317</v>
      </c>
      <c r="C96" s="586"/>
      <c r="D96" s="662"/>
      <c r="E96" s="663"/>
      <c r="F96" s="663"/>
      <c r="G96" s="663"/>
      <c r="H96" s="664"/>
      <c r="I96" s="662"/>
      <c r="J96" s="665"/>
      <c r="K96" s="665"/>
      <c r="L96" s="665"/>
      <c r="M96" s="666"/>
      <c r="N96" s="517"/>
      <c r="O96" s="517"/>
      <c r="P96" s="517"/>
      <c r="Q96" s="517"/>
      <c r="R96" s="517"/>
      <c r="S96" s="517"/>
      <c r="T96" s="517"/>
    </row>
    <row r="97" spans="1:20">
      <c r="A97" s="657"/>
      <c r="B97" s="585" t="s">
        <v>310</v>
      </c>
      <c r="C97" s="586"/>
      <c r="D97" s="625"/>
      <c r="E97" s="626"/>
      <c r="F97" s="626"/>
      <c r="G97" s="626"/>
      <c r="H97" s="627"/>
      <c r="I97" s="662"/>
      <c r="J97" s="665"/>
      <c r="K97" s="665"/>
      <c r="L97" s="665"/>
      <c r="M97" s="666"/>
      <c r="N97" s="517"/>
      <c r="O97" s="517"/>
      <c r="P97" s="517"/>
      <c r="Q97" s="517"/>
      <c r="R97" s="517"/>
      <c r="S97" s="517"/>
      <c r="T97" s="517"/>
    </row>
    <row r="98" spans="1:20">
      <c r="A98" s="657"/>
      <c r="B98" s="585" t="s">
        <v>311</v>
      </c>
      <c r="C98" s="586" t="s">
        <v>255</v>
      </c>
      <c r="D98" s="625"/>
      <c r="E98" s="626"/>
      <c r="F98" s="626"/>
      <c r="G98" s="626"/>
      <c r="H98" s="627"/>
      <c r="I98" s="662"/>
      <c r="J98" s="665"/>
      <c r="K98" s="665"/>
      <c r="L98" s="665"/>
      <c r="M98" s="666"/>
      <c r="N98" s="517"/>
      <c r="O98" s="517"/>
      <c r="P98" s="517"/>
      <c r="Q98" s="517"/>
      <c r="R98" s="517"/>
      <c r="S98" s="517"/>
      <c r="T98" s="517"/>
    </row>
    <row r="99" spans="1:20">
      <c r="A99" s="657"/>
      <c r="B99" s="585" t="s">
        <v>324</v>
      </c>
      <c r="C99" s="586"/>
      <c r="D99" s="662"/>
      <c r="E99" s="665"/>
      <c r="F99" s="665"/>
      <c r="G99" s="665"/>
      <c r="H99" s="664"/>
      <c r="I99" s="667">
        <f>SUM(I97:I98)</f>
        <v>0</v>
      </c>
      <c r="J99" s="667">
        <f>SUM(J97:J98)</f>
        <v>0</v>
      </c>
      <c r="K99" s="667">
        <f>SUM(K97:K98)</f>
        <v>0</v>
      </c>
      <c r="L99" s="667">
        <f>SUM(L97:L98)</f>
        <v>0</v>
      </c>
      <c r="M99" s="667">
        <f>SUM(M97:M98)</f>
        <v>0</v>
      </c>
      <c r="N99" s="517"/>
      <c r="O99" s="517"/>
      <c r="P99" s="517"/>
      <c r="Q99" s="517"/>
      <c r="R99" s="517"/>
      <c r="S99" s="517"/>
      <c r="T99" s="517"/>
    </row>
    <row r="100" spans="1:20">
      <c r="A100" s="657"/>
      <c r="B100" s="628" t="s">
        <v>330</v>
      </c>
      <c r="C100" s="586"/>
      <c r="D100" s="629"/>
      <c r="E100" s="630"/>
      <c r="F100" s="630"/>
      <c r="G100" s="630"/>
      <c r="H100" s="631"/>
      <c r="I100" s="632"/>
      <c r="J100" s="633"/>
      <c r="K100" s="633"/>
      <c r="L100" s="670"/>
      <c r="M100" s="634"/>
      <c r="N100" s="611"/>
      <c r="O100" s="517"/>
      <c r="P100" s="517"/>
      <c r="Q100" s="517"/>
      <c r="R100" s="517"/>
      <c r="S100" s="517"/>
      <c r="T100" s="517"/>
    </row>
    <row r="101" spans="1:20">
      <c r="A101" s="657"/>
      <c r="B101" s="635" t="s">
        <v>254</v>
      </c>
      <c r="C101" s="586" t="s">
        <v>255</v>
      </c>
      <c r="D101" s="671"/>
      <c r="E101" s="672"/>
      <c r="F101" s="672"/>
      <c r="G101" s="672"/>
      <c r="H101" s="673"/>
      <c r="I101" s="671"/>
      <c r="J101" s="674"/>
      <c r="K101" s="674"/>
      <c r="L101" s="674"/>
      <c r="M101" s="675"/>
      <c r="N101" s="517"/>
      <c r="O101" s="517"/>
      <c r="P101" s="517"/>
      <c r="Q101" s="517"/>
      <c r="R101" s="517"/>
      <c r="S101" s="517"/>
      <c r="T101" s="517"/>
    </row>
    <row r="102" spans="1:20">
      <c r="A102" s="657"/>
      <c r="B102" s="636" t="s">
        <v>317</v>
      </c>
      <c r="C102" s="586"/>
      <c r="D102" s="671"/>
      <c r="E102" s="672"/>
      <c r="F102" s="672"/>
      <c r="G102" s="672"/>
      <c r="H102" s="673"/>
      <c r="I102" s="671"/>
      <c r="J102" s="674"/>
      <c r="K102" s="674"/>
      <c r="L102" s="674"/>
      <c r="M102" s="675"/>
      <c r="N102" s="517"/>
      <c r="O102" s="517"/>
      <c r="P102" s="517"/>
      <c r="Q102" s="517"/>
      <c r="R102" s="517"/>
      <c r="S102" s="517"/>
      <c r="T102" s="517"/>
    </row>
    <row r="103" spans="1:20">
      <c r="A103" s="657"/>
      <c r="B103" s="585" t="s">
        <v>312</v>
      </c>
      <c r="C103" s="586"/>
      <c r="D103" s="676"/>
      <c r="E103" s="677"/>
      <c r="F103" s="677"/>
      <c r="G103" s="677"/>
      <c r="H103" s="678"/>
      <c r="I103" s="671"/>
      <c r="J103" s="674"/>
      <c r="K103" s="674"/>
      <c r="L103" s="674"/>
      <c r="M103" s="675"/>
      <c r="N103" s="517"/>
      <c r="O103" s="517"/>
      <c r="P103" s="517"/>
      <c r="Q103" s="517"/>
      <c r="R103" s="517"/>
      <c r="S103" s="517"/>
      <c r="T103" s="517"/>
    </row>
    <row r="104" spans="1:20">
      <c r="A104" s="657"/>
      <c r="B104" s="585" t="s">
        <v>313</v>
      </c>
      <c r="C104" s="586" t="s">
        <v>255</v>
      </c>
      <c r="D104" s="676"/>
      <c r="E104" s="677"/>
      <c r="F104" s="677"/>
      <c r="G104" s="677"/>
      <c r="H104" s="678"/>
      <c r="I104" s="671"/>
      <c r="J104" s="674"/>
      <c r="K104" s="674"/>
      <c r="L104" s="674"/>
      <c r="M104" s="675"/>
      <c r="N104" s="517"/>
      <c r="O104" s="517"/>
      <c r="P104" s="517"/>
      <c r="Q104" s="517"/>
      <c r="R104" s="517"/>
      <c r="S104" s="517"/>
      <c r="T104" s="517"/>
    </row>
    <row r="105" spans="1:20">
      <c r="A105" s="657"/>
      <c r="B105" s="585" t="s">
        <v>326</v>
      </c>
      <c r="C105" s="586"/>
      <c r="D105" s="671"/>
      <c r="E105" s="672"/>
      <c r="F105" s="672"/>
      <c r="G105" s="672"/>
      <c r="H105" s="673"/>
      <c r="I105" s="679">
        <f>SUM(I103:I104)</f>
        <v>0</v>
      </c>
      <c r="J105" s="679">
        <f>SUM(J103:J104)</f>
        <v>0</v>
      </c>
      <c r="K105" s="679">
        <f>SUM(K103:K104)</f>
        <v>0</v>
      </c>
      <c r="L105" s="679">
        <f>SUM(L103:L104)</f>
        <v>0</v>
      </c>
      <c r="M105" s="679">
        <f>SUM(M103:M104)</f>
        <v>0</v>
      </c>
      <c r="N105" s="517"/>
      <c r="O105" s="517"/>
      <c r="P105" s="517"/>
      <c r="Q105" s="517"/>
      <c r="R105" s="517"/>
      <c r="S105" s="517"/>
      <c r="T105" s="517"/>
    </row>
    <row r="106" spans="1:20" ht="13.5" thickBot="1">
      <c r="A106" s="657"/>
      <c r="B106" s="650" t="s">
        <v>261</v>
      </c>
      <c r="C106" s="601" t="s">
        <v>255</v>
      </c>
      <c r="D106" s="651">
        <f t="shared" ref="D106:M106" si="21">SUM(D83:D84,D87,D89:D90,D93,D95:D96,D99,D101:D102,D105)</f>
        <v>0</v>
      </c>
      <c r="E106" s="652">
        <f t="shared" si="21"/>
        <v>0</v>
      </c>
      <c r="F106" s="652">
        <f t="shared" si="21"/>
        <v>0</v>
      </c>
      <c r="G106" s="652">
        <f t="shared" si="21"/>
        <v>0</v>
      </c>
      <c r="H106" s="653">
        <f t="shared" si="21"/>
        <v>0</v>
      </c>
      <c r="I106" s="651">
        <f t="shared" si="21"/>
        <v>0</v>
      </c>
      <c r="J106" s="652">
        <f t="shared" si="21"/>
        <v>0</v>
      </c>
      <c r="K106" s="652">
        <f t="shared" si="21"/>
        <v>0</v>
      </c>
      <c r="L106" s="652">
        <f t="shared" si="21"/>
        <v>0</v>
      </c>
      <c r="M106" s="680">
        <f t="shared" si="21"/>
        <v>0</v>
      </c>
      <c r="N106" s="654"/>
      <c r="O106" s="517"/>
      <c r="P106" s="517"/>
      <c r="Q106" s="517"/>
      <c r="R106" s="517"/>
      <c r="S106" s="517"/>
      <c r="T106" s="517"/>
    </row>
    <row r="107" spans="1:20">
      <c r="B107" s="681"/>
      <c r="C107" s="575"/>
      <c r="D107" s="576"/>
      <c r="E107" s="576"/>
      <c r="F107" s="576"/>
      <c r="G107" s="576"/>
      <c r="H107" s="576"/>
      <c r="I107" s="576"/>
      <c r="J107" s="576"/>
      <c r="K107" s="576"/>
      <c r="L107" s="576"/>
      <c r="M107" s="576"/>
      <c r="N107" s="517"/>
      <c r="O107" s="576"/>
      <c r="P107" s="576"/>
      <c r="Q107" s="576"/>
      <c r="R107" s="517"/>
      <c r="S107" s="576"/>
      <c r="T107" s="576"/>
    </row>
    <row r="108" spans="1:20">
      <c r="B108" s="518" t="s">
        <v>331</v>
      </c>
      <c r="N108" s="517"/>
      <c r="O108" s="517"/>
      <c r="P108" s="517"/>
      <c r="Q108" s="517"/>
      <c r="R108" s="517"/>
      <c r="S108" s="517"/>
      <c r="T108" s="517"/>
    </row>
    <row r="109" spans="1:20" ht="13.5" thickBot="1">
      <c r="B109" s="518"/>
      <c r="F109" s="617"/>
      <c r="N109" s="517"/>
      <c r="O109" s="517"/>
      <c r="P109" s="517"/>
      <c r="Q109" s="517"/>
      <c r="R109" s="517"/>
      <c r="S109" s="517"/>
      <c r="T109" s="517"/>
    </row>
    <row r="110" spans="1:20">
      <c r="B110" s="1892"/>
      <c r="C110" s="1888" t="s">
        <v>210</v>
      </c>
      <c r="D110" s="520" t="s">
        <v>211</v>
      </c>
      <c r="E110" s="521"/>
      <c r="F110" s="521"/>
      <c r="G110" s="521"/>
      <c r="H110" s="522"/>
      <c r="I110" s="521" t="s">
        <v>212</v>
      </c>
      <c r="J110" s="523"/>
      <c r="K110" s="523"/>
      <c r="L110" s="523"/>
      <c r="M110" s="522"/>
      <c r="N110" s="517"/>
      <c r="O110" s="517"/>
      <c r="P110" s="517"/>
      <c r="Q110" s="517"/>
      <c r="R110" s="517"/>
      <c r="S110" s="517"/>
      <c r="T110" s="517"/>
    </row>
    <row r="111" spans="1:20">
      <c r="B111" s="1893"/>
      <c r="C111" s="1889"/>
      <c r="D111" s="528" t="s">
        <v>99</v>
      </c>
      <c r="E111" s="529" t="s">
        <v>100</v>
      </c>
      <c r="F111" s="529" t="s">
        <v>101</v>
      </c>
      <c r="G111" s="529" t="s">
        <v>102</v>
      </c>
      <c r="H111" s="530" t="s">
        <v>64</v>
      </c>
      <c r="I111" s="531" t="s">
        <v>213</v>
      </c>
      <c r="J111" s="529" t="s">
        <v>214</v>
      </c>
      <c r="K111" s="529" t="s">
        <v>215</v>
      </c>
      <c r="L111" s="529" t="s">
        <v>216</v>
      </c>
      <c r="M111" s="530" t="s">
        <v>217</v>
      </c>
      <c r="N111" s="517"/>
      <c r="O111" s="517"/>
      <c r="P111" s="517"/>
      <c r="Q111" s="517"/>
      <c r="R111" s="517"/>
      <c r="S111" s="517"/>
      <c r="T111" s="517"/>
    </row>
    <row r="112" spans="1:20">
      <c r="B112" s="603" t="s">
        <v>315</v>
      </c>
      <c r="C112" s="604"/>
      <c r="D112" s="605"/>
      <c r="E112" s="606"/>
      <c r="F112" s="606"/>
      <c r="G112" s="606"/>
      <c r="H112" s="607"/>
      <c r="I112" s="609"/>
      <c r="J112" s="609"/>
      <c r="K112" s="609"/>
      <c r="L112" s="609"/>
      <c r="M112" s="610"/>
      <c r="N112" s="611"/>
      <c r="O112" s="517"/>
      <c r="P112" s="517"/>
      <c r="Q112" s="517"/>
      <c r="R112" s="517"/>
      <c r="S112" s="517"/>
      <c r="T112" s="517"/>
    </row>
    <row r="113" spans="2:20">
      <c r="B113" s="612" t="s">
        <v>316</v>
      </c>
      <c r="C113" s="586"/>
      <c r="D113" s="613"/>
      <c r="E113" s="614"/>
      <c r="F113" s="614"/>
      <c r="G113" s="614"/>
      <c r="H113" s="615"/>
      <c r="I113" s="617"/>
      <c r="J113" s="617"/>
      <c r="K113" s="617"/>
      <c r="L113" s="617"/>
      <c r="M113" s="618"/>
      <c r="N113" s="611"/>
      <c r="O113" s="517"/>
      <c r="P113" s="517"/>
      <c r="Q113" s="517"/>
      <c r="R113" s="517"/>
      <c r="S113" s="517"/>
      <c r="T113" s="517"/>
    </row>
    <row r="114" spans="2:20">
      <c r="B114" s="619" t="s">
        <v>254</v>
      </c>
      <c r="C114" s="586" t="s">
        <v>255</v>
      </c>
      <c r="D114" s="662"/>
      <c r="E114" s="663"/>
      <c r="F114" s="663"/>
      <c r="G114" s="663"/>
      <c r="H114" s="664"/>
      <c r="I114" s="662"/>
      <c r="J114" s="665"/>
      <c r="K114" s="665"/>
      <c r="L114" s="665"/>
      <c r="M114" s="666"/>
      <c r="N114" s="517"/>
      <c r="O114" s="517"/>
      <c r="P114" s="517"/>
      <c r="Q114" s="517"/>
      <c r="R114" s="517"/>
      <c r="S114" s="517"/>
      <c r="T114" s="517"/>
    </row>
    <row r="115" spans="2:20">
      <c r="B115" s="624" t="s">
        <v>317</v>
      </c>
      <c r="C115" s="586"/>
      <c r="D115" s="662"/>
      <c r="E115" s="663"/>
      <c r="F115" s="663"/>
      <c r="G115" s="663"/>
      <c r="H115" s="664"/>
      <c r="I115" s="662"/>
      <c r="J115" s="665"/>
      <c r="K115" s="665"/>
      <c r="L115" s="665"/>
      <c r="M115" s="666"/>
      <c r="N115" s="517"/>
      <c r="O115" s="517"/>
      <c r="P115" s="517"/>
      <c r="Q115" s="517"/>
      <c r="R115" s="517"/>
      <c r="S115" s="517"/>
      <c r="T115" s="517"/>
    </row>
    <row r="116" spans="2:20">
      <c r="B116" s="585" t="s">
        <v>318</v>
      </c>
      <c r="C116" s="586"/>
      <c r="D116" s="637"/>
      <c r="E116" s="638"/>
      <c r="F116" s="638"/>
      <c r="G116" s="638"/>
      <c r="H116" s="639"/>
      <c r="I116" s="662"/>
      <c r="J116" s="665"/>
      <c r="K116" s="665"/>
      <c r="L116" s="665"/>
      <c r="M116" s="666"/>
      <c r="N116" s="517"/>
      <c r="O116" s="517"/>
      <c r="P116" s="517"/>
      <c r="Q116" s="517"/>
      <c r="R116" s="517"/>
      <c r="S116" s="517"/>
      <c r="T116" s="517"/>
    </row>
    <row r="117" spans="2:20">
      <c r="B117" s="585" t="s">
        <v>319</v>
      </c>
      <c r="C117" s="586" t="s">
        <v>255</v>
      </c>
      <c r="D117" s="637"/>
      <c r="E117" s="638"/>
      <c r="F117" s="638"/>
      <c r="G117" s="638"/>
      <c r="H117" s="639"/>
      <c r="I117" s="662"/>
      <c r="J117" s="665"/>
      <c r="K117" s="665"/>
      <c r="L117" s="665"/>
      <c r="M117" s="666"/>
      <c r="N117" s="517"/>
      <c r="O117" s="517"/>
      <c r="P117" s="517"/>
      <c r="Q117" s="517"/>
      <c r="R117" s="517"/>
      <c r="S117" s="517"/>
      <c r="T117" s="517"/>
    </row>
    <row r="118" spans="2:20">
      <c r="B118" s="585" t="s">
        <v>320</v>
      </c>
      <c r="C118" s="586"/>
      <c r="D118" s="662"/>
      <c r="E118" s="665"/>
      <c r="F118" s="665"/>
      <c r="G118" s="665"/>
      <c r="H118" s="664"/>
      <c r="I118" s="667">
        <f>SUM(I116:I117)</f>
        <v>0</v>
      </c>
      <c r="J118" s="668">
        <f>SUM(J116:J117)</f>
        <v>0</v>
      </c>
      <c r="K118" s="668">
        <f>SUM(K116:K117)</f>
        <v>0</v>
      </c>
      <c r="L118" s="668">
        <f>SUM(L116:L117)</f>
        <v>0</v>
      </c>
      <c r="M118" s="669">
        <f>SUM(M116:M117)</f>
        <v>0</v>
      </c>
      <c r="N118" s="517"/>
      <c r="O118" s="517"/>
      <c r="P118" s="517"/>
      <c r="Q118" s="517"/>
      <c r="R118" s="517"/>
      <c r="S118" s="517"/>
      <c r="T118" s="517"/>
    </row>
    <row r="119" spans="2:20">
      <c r="B119" s="628" t="s">
        <v>328</v>
      </c>
      <c r="C119" s="586"/>
      <c r="D119" s="629"/>
      <c r="E119" s="630"/>
      <c r="F119" s="630"/>
      <c r="G119" s="630"/>
      <c r="H119" s="631"/>
      <c r="I119" s="632"/>
      <c r="J119" s="633"/>
      <c r="K119" s="633"/>
      <c r="L119" s="670"/>
      <c r="M119" s="634"/>
      <c r="N119" s="611"/>
      <c r="O119" s="517"/>
      <c r="P119" s="517"/>
      <c r="Q119" s="517"/>
      <c r="R119" s="517"/>
      <c r="S119" s="517"/>
      <c r="T119" s="517"/>
    </row>
    <row r="120" spans="2:20">
      <c r="B120" s="635" t="s">
        <v>254</v>
      </c>
      <c r="C120" s="586" t="s">
        <v>255</v>
      </c>
      <c r="D120" s="662"/>
      <c r="E120" s="663"/>
      <c r="F120" s="663"/>
      <c r="G120" s="663"/>
      <c r="H120" s="664"/>
      <c r="I120" s="662"/>
      <c r="J120" s="665"/>
      <c r="K120" s="665"/>
      <c r="L120" s="665"/>
      <c r="M120" s="666"/>
      <c r="N120" s="517"/>
      <c r="O120" s="517"/>
      <c r="P120" s="517"/>
      <c r="Q120" s="517"/>
      <c r="R120" s="517"/>
      <c r="S120" s="517"/>
      <c r="T120" s="517"/>
    </row>
    <row r="121" spans="2:20">
      <c r="B121" s="636" t="s">
        <v>317</v>
      </c>
      <c r="C121" s="586"/>
      <c r="D121" s="662"/>
      <c r="E121" s="663"/>
      <c r="F121" s="663"/>
      <c r="G121" s="663"/>
      <c r="H121" s="664"/>
      <c r="I121" s="662"/>
      <c r="J121" s="665"/>
      <c r="K121" s="665"/>
      <c r="L121" s="665"/>
      <c r="M121" s="666"/>
      <c r="N121" s="517"/>
      <c r="O121" s="517"/>
      <c r="P121" s="517"/>
      <c r="Q121" s="517"/>
      <c r="R121" s="517"/>
      <c r="S121" s="517"/>
      <c r="T121" s="517"/>
    </row>
    <row r="122" spans="2:20">
      <c r="B122" s="585" t="s">
        <v>308</v>
      </c>
      <c r="C122" s="586"/>
      <c r="D122" s="637"/>
      <c r="E122" s="638"/>
      <c r="F122" s="638"/>
      <c r="G122" s="638"/>
      <c r="H122" s="639"/>
      <c r="I122" s="662"/>
      <c r="J122" s="665"/>
      <c r="K122" s="665"/>
      <c r="L122" s="665"/>
      <c r="M122" s="666"/>
      <c r="N122" s="517"/>
      <c r="O122" s="517"/>
      <c r="P122" s="517"/>
      <c r="Q122" s="517"/>
      <c r="R122" s="517"/>
      <c r="S122" s="517"/>
      <c r="T122" s="517"/>
    </row>
    <row r="123" spans="2:20">
      <c r="B123" s="585" t="s">
        <v>309</v>
      </c>
      <c r="C123" s="586" t="s">
        <v>255</v>
      </c>
      <c r="D123" s="637"/>
      <c r="E123" s="638"/>
      <c r="F123" s="638"/>
      <c r="G123" s="638"/>
      <c r="H123" s="639"/>
      <c r="I123" s="662"/>
      <c r="J123" s="665"/>
      <c r="K123" s="665"/>
      <c r="L123" s="665"/>
      <c r="M123" s="666"/>
      <c r="N123" s="517"/>
      <c r="O123" s="517"/>
      <c r="P123" s="517"/>
      <c r="Q123" s="517"/>
      <c r="R123" s="517"/>
      <c r="S123" s="517"/>
      <c r="T123" s="517"/>
    </row>
    <row r="124" spans="2:20">
      <c r="B124" s="585" t="s">
        <v>322</v>
      </c>
      <c r="C124" s="586"/>
      <c r="D124" s="662"/>
      <c r="E124" s="665"/>
      <c r="F124" s="665"/>
      <c r="G124" s="665"/>
      <c r="H124" s="664"/>
      <c r="I124" s="667">
        <f>SUM(I122:I123)</f>
        <v>0</v>
      </c>
      <c r="J124" s="667">
        <f>SUM(J122:J123)</f>
        <v>0</v>
      </c>
      <c r="K124" s="667">
        <f>SUM(K122:K123)</f>
        <v>0</v>
      </c>
      <c r="L124" s="667">
        <f>SUM(L122:L123)</f>
        <v>0</v>
      </c>
      <c r="M124" s="682">
        <f>SUM(M122:M123)</f>
        <v>0</v>
      </c>
      <c r="N124" s="517"/>
      <c r="O124" s="517"/>
      <c r="P124" s="517"/>
      <c r="Q124" s="517"/>
      <c r="R124" s="517"/>
      <c r="S124" s="517"/>
      <c r="T124" s="517"/>
    </row>
    <row r="125" spans="2:20">
      <c r="B125" s="628" t="s">
        <v>329</v>
      </c>
      <c r="C125" s="586"/>
      <c r="D125" s="629"/>
      <c r="E125" s="630"/>
      <c r="F125" s="630"/>
      <c r="G125" s="630"/>
      <c r="H125" s="631"/>
      <c r="I125" s="632"/>
      <c r="J125" s="633"/>
      <c r="K125" s="633"/>
      <c r="L125" s="670"/>
      <c r="M125" s="634"/>
      <c r="N125" s="611"/>
      <c r="O125" s="517"/>
      <c r="P125" s="517"/>
      <c r="Q125" s="517"/>
      <c r="R125" s="517"/>
      <c r="S125" s="517"/>
      <c r="T125" s="517"/>
    </row>
    <row r="126" spans="2:20">
      <c r="B126" s="635" t="s">
        <v>254</v>
      </c>
      <c r="C126" s="586" t="s">
        <v>255</v>
      </c>
      <c r="D126" s="662"/>
      <c r="E126" s="663"/>
      <c r="F126" s="663"/>
      <c r="G126" s="663"/>
      <c r="H126" s="664"/>
      <c r="I126" s="662"/>
      <c r="J126" s="665"/>
      <c r="K126" s="665"/>
      <c r="L126" s="665"/>
      <c r="M126" s="666"/>
      <c r="N126" s="517"/>
      <c r="O126" s="517"/>
      <c r="P126" s="517"/>
      <c r="Q126" s="517"/>
      <c r="R126" s="517"/>
      <c r="S126" s="517"/>
      <c r="T126" s="517"/>
    </row>
    <row r="127" spans="2:20">
      <c r="B127" s="636" t="s">
        <v>317</v>
      </c>
      <c r="C127" s="586"/>
      <c r="D127" s="662"/>
      <c r="E127" s="663"/>
      <c r="F127" s="663"/>
      <c r="G127" s="663"/>
      <c r="H127" s="664"/>
      <c r="I127" s="662"/>
      <c r="J127" s="665"/>
      <c r="K127" s="665"/>
      <c r="L127" s="665"/>
      <c r="M127" s="666"/>
      <c r="N127" s="517"/>
      <c r="O127" s="517"/>
      <c r="P127" s="517"/>
      <c r="Q127" s="517"/>
      <c r="R127" s="517"/>
      <c r="S127" s="517"/>
      <c r="T127" s="517"/>
    </row>
    <row r="128" spans="2:20">
      <c r="B128" s="585" t="s">
        <v>310</v>
      </c>
      <c r="C128" s="586"/>
      <c r="D128" s="625"/>
      <c r="E128" s="626"/>
      <c r="F128" s="626"/>
      <c r="G128" s="626"/>
      <c r="H128" s="627"/>
      <c r="I128" s="662"/>
      <c r="J128" s="665"/>
      <c r="K128" s="665"/>
      <c r="L128" s="665"/>
      <c r="M128" s="666"/>
      <c r="N128" s="517"/>
      <c r="O128" s="517"/>
      <c r="P128" s="517"/>
      <c r="Q128" s="517"/>
      <c r="R128" s="517"/>
      <c r="S128" s="517"/>
      <c r="T128" s="517"/>
    </row>
    <row r="129" spans="2:20">
      <c r="B129" s="585" t="s">
        <v>311</v>
      </c>
      <c r="C129" s="586" t="s">
        <v>255</v>
      </c>
      <c r="D129" s="625"/>
      <c r="E129" s="626"/>
      <c r="F129" s="626"/>
      <c r="G129" s="626"/>
      <c r="H129" s="627"/>
      <c r="I129" s="662"/>
      <c r="J129" s="665"/>
      <c r="K129" s="665"/>
      <c r="L129" s="665"/>
      <c r="M129" s="666"/>
      <c r="N129" s="517"/>
      <c r="O129" s="517"/>
      <c r="P129" s="517"/>
      <c r="Q129" s="517"/>
      <c r="R129" s="517"/>
      <c r="S129" s="517"/>
      <c r="T129" s="517"/>
    </row>
    <row r="130" spans="2:20">
      <c r="B130" s="585" t="s">
        <v>324</v>
      </c>
      <c r="C130" s="586"/>
      <c r="D130" s="662"/>
      <c r="E130" s="665"/>
      <c r="F130" s="665"/>
      <c r="G130" s="665"/>
      <c r="H130" s="664"/>
      <c r="I130" s="667">
        <f>SUM(I128:I129)</f>
        <v>0</v>
      </c>
      <c r="J130" s="667">
        <f>SUM(J128:J129)</f>
        <v>0</v>
      </c>
      <c r="K130" s="667">
        <f>SUM(K128:K129)</f>
        <v>0</v>
      </c>
      <c r="L130" s="667">
        <f>SUM(L128:L129)</f>
        <v>0</v>
      </c>
      <c r="M130" s="682">
        <f>SUM(M128:M129)</f>
        <v>0</v>
      </c>
      <c r="N130" s="517"/>
      <c r="O130" s="517"/>
      <c r="P130" s="517"/>
      <c r="Q130" s="517"/>
      <c r="R130" s="517"/>
      <c r="S130" s="517"/>
      <c r="T130" s="517"/>
    </row>
    <row r="131" spans="2:20">
      <c r="B131" s="628" t="s">
        <v>330</v>
      </c>
      <c r="C131" s="586"/>
      <c r="D131" s="629"/>
      <c r="E131" s="630"/>
      <c r="F131" s="630"/>
      <c r="G131" s="630"/>
      <c r="H131" s="631"/>
      <c r="I131" s="632"/>
      <c r="J131" s="633"/>
      <c r="K131" s="633"/>
      <c r="L131" s="670"/>
      <c r="M131" s="634"/>
      <c r="N131" s="611"/>
      <c r="O131" s="517"/>
      <c r="P131" s="517"/>
      <c r="Q131" s="517"/>
      <c r="R131" s="517"/>
      <c r="S131" s="517"/>
      <c r="T131" s="517"/>
    </row>
    <row r="132" spans="2:20">
      <c r="B132" s="635" t="s">
        <v>254</v>
      </c>
      <c r="C132" s="586" t="s">
        <v>255</v>
      </c>
      <c r="D132" s="671"/>
      <c r="E132" s="672"/>
      <c r="F132" s="672"/>
      <c r="G132" s="672"/>
      <c r="H132" s="673"/>
      <c r="I132" s="671"/>
      <c r="J132" s="674"/>
      <c r="K132" s="674"/>
      <c r="L132" s="674"/>
      <c r="M132" s="675"/>
      <c r="N132" s="517"/>
      <c r="O132" s="517"/>
      <c r="P132" s="517"/>
      <c r="Q132" s="517"/>
      <c r="R132" s="517"/>
      <c r="S132" s="517"/>
      <c r="T132" s="517"/>
    </row>
    <row r="133" spans="2:20">
      <c r="B133" s="636" t="s">
        <v>317</v>
      </c>
      <c r="C133" s="586"/>
      <c r="D133" s="671"/>
      <c r="E133" s="672"/>
      <c r="F133" s="672"/>
      <c r="G133" s="672"/>
      <c r="H133" s="673"/>
      <c r="I133" s="671"/>
      <c r="J133" s="674"/>
      <c r="K133" s="674"/>
      <c r="L133" s="674"/>
      <c r="M133" s="675"/>
      <c r="N133" s="517"/>
      <c r="O133" s="517"/>
      <c r="P133" s="517"/>
      <c r="Q133" s="517"/>
      <c r="R133" s="517"/>
      <c r="S133" s="517"/>
      <c r="T133" s="517"/>
    </row>
    <row r="134" spans="2:20">
      <c r="B134" s="585" t="s">
        <v>312</v>
      </c>
      <c r="C134" s="586"/>
      <c r="D134" s="676"/>
      <c r="E134" s="677"/>
      <c r="F134" s="677"/>
      <c r="G134" s="677"/>
      <c r="H134" s="678"/>
      <c r="I134" s="671"/>
      <c r="J134" s="674"/>
      <c r="K134" s="674"/>
      <c r="L134" s="674"/>
      <c r="M134" s="675"/>
      <c r="N134" s="517"/>
      <c r="O134" s="517"/>
      <c r="P134" s="517"/>
      <c r="Q134" s="517"/>
      <c r="R134" s="517"/>
      <c r="S134" s="517"/>
      <c r="T134" s="517"/>
    </row>
    <row r="135" spans="2:20">
      <c r="B135" s="585" t="s">
        <v>313</v>
      </c>
      <c r="C135" s="586" t="s">
        <v>255</v>
      </c>
      <c r="D135" s="676"/>
      <c r="E135" s="677"/>
      <c r="F135" s="677"/>
      <c r="G135" s="677"/>
      <c r="H135" s="678"/>
      <c r="I135" s="671"/>
      <c r="J135" s="674"/>
      <c r="K135" s="674"/>
      <c r="L135" s="674"/>
      <c r="M135" s="675"/>
      <c r="N135" s="517"/>
      <c r="O135" s="517"/>
      <c r="P135" s="517"/>
      <c r="Q135" s="517"/>
      <c r="R135" s="517"/>
      <c r="S135" s="517"/>
      <c r="T135" s="517"/>
    </row>
    <row r="136" spans="2:20">
      <c r="B136" s="585" t="s">
        <v>326</v>
      </c>
      <c r="C136" s="586"/>
      <c r="D136" s="671"/>
      <c r="E136" s="672"/>
      <c r="F136" s="672"/>
      <c r="G136" s="672"/>
      <c r="H136" s="673"/>
      <c r="I136" s="679">
        <f>SUM(I134:I135)</f>
        <v>0</v>
      </c>
      <c r="J136" s="679">
        <f>SUM(J134:J135)</f>
        <v>0</v>
      </c>
      <c r="K136" s="679">
        <f>SUM(K134:K135)</f>
        <v>0</v>
      </c>
      <c r="L136" s="679">
        <f>SUM(L134:L135)</f>
        <v>0</v>
      </c>
      <c r="M136" s="683">
        <f>SUM(M134:M135)</f>
        <v>0</v>
      </c>
      <c r="N136" s="517"/>
      <c r="O136" s="517"/>
      <c r="P136" s="517"/>
      <c r="Q136" s="517"/>
      <c r="R136" s="517"/>
      <c r="S136" s="517"/>
      <c r="T136" s="517"/>
    </row>
    <row r="137" spans="2:20" ht="13.5" thickBot="1">
      <c r="B137" s="650" t="s">
        <v>261</v>
      </c>
      <c r="C137" s="601" t="s">
        <v>255</v>
      </c>
      <c r="D137" s="651">
        <f t="shared" ref="D137:M137" si="22">SUM(D114:D115,D118,D120:D121,D124,D126:D127,D130,D132:D133,D136)</f>
        <v>0</v>
      </c>
      <c r="E137" s="652">
        <f t="shared" si="22"/>
        <v>0</v>
      </c>
      <c r="F137" s="652">
        <f t="shared" si="22"/>
        <v>0</v>
      </c>
      <c r="G137" s="652">
        <f t="shared" si="22"/>
        <v>0</v>
      </c>
      <c r="H137" s="653">
        <f t="shared" si="22"/>
        <v>0</v>
      </c>
      <c r="I137" s="651">
        <f t="shared" si="22"/>
        <v>0</v>
      </c>
      <c r="J137" s="652">
        <f t="shared" si="22"/>
        <v>0</v>
      </c>
      <c r="K137" s="652">
        <f t="shared" si="22"/>
        <v>0</v>
      </c>
      <c r="L137" s="652">
        <f t="shared" si="22"/>
        <v>0</v>
      </c>
      <c r="M137" s="680">
        <f t="shared" si="22"/>
        <v>0</v>
      </c>
      <c r="N137" s="654"/>
      <c r="O137" s="517"/>
      <c r="P137" s="517"/>
      <c r="Q137" s="517"/>
      <c r="R137" s="517"/>
      <c r="S137" s="517"/>
      <c r="T137" s="517"/>
    </row>
    <row r="138" spans="2:20">
      <c r="B138" s="681"/>
      <c r="C138" s="575"/>
      <c r="D138" s="576"/>
      <c r="E138" s="576"/>
      <c r="F138" s="576"/>
      <c r="G138" s="576"/>
      <c r="H138" s="576"/>
      <c r="I138" s="576"/>
      <c r="J138" s="576"/>
      <c r="K138" s="576"/>
      <c r="L138" s="576"/>
      <c r="M138" s="576"/>
      <c r="N138" s="517"/>
      <c r="O138" s="576"/>
      <c r="P138" s="576"/>
      <c r="Q138" s="576"/>
      <c r="R138" s="517"/>
      <c r="S138" s="576"/>
      <c r="T138" s="576"/>
    </row>
    <row r="139" spans="2:20">
      <c r="B139" s="681"/>
      <c r="C139" s="575"/>
      <c r="D139" s="576"/>
      <c r="E139" s="576"/>
      <c r="F139" s="576"/>
      <c r="G139" s="576"/>
      <c r="H139" s="576"/>
      <c r="I139" s="576"/>
      <c r="J139" s="576"/>
      <c r="K139" s="576"/>
      <c r="L139" s="576"/>
      <c r="M139" s="576"/>
      <c r="N139" s="517"/>
      <c r="O139" s="576"/>
      <c r="P139" s="576"/>
      <c r="Q139" s="576"/>
      <c r="R139" s="517"/>
      <c r="S139" s="576"/>
      <c r="T139" s="576"/>
    </row>
    <row r="140" spans="2:20">
      <c r="B140" s="681"/>
      <c r="C140" s="575"/>
      <c r="D140" s="576"/>
      <c r="E140" s="576"/>
      <c r="F140" s="576"/>
      <c r="G140" s="576"/>
      <c r="H140" s="576"/>
      <c r="I140" s="576"/>
      <c r="J140" s="576"/>
      <c r="K140" s="576"/>
      <c r="L140" s="576"/>
      <c r="M140" s="576"/>
      <c r="N140" s="517"/>
      <c r="O140" s="576"/>
      <c r="P140" s="576"/>
      <c r="Q140" s="576"/>
      <c r="R140" s="517"/>
      <c r="S140" s="576"/>
      <c r="T140" s="576"/>
    </row>
    <row r="141" spans="2:20">
      <c r="B141" s="574" t="s">
        <v>332</v>
      </c>
      <c r="C141" s="575"/>
      <c r="D141" s="576"/>
      <c r="E141" s="576"/>
      <c r="F141" s="576"/>
      <c r="G141" s="576"/>
      <c r="H141" s="576"/>
      <c r="I141" s="576"/>
      <c r="J141" s="576"/>
      <c r="K141" s="576"/>
      <c r="L141" s="576"/>
      <c r="M141" s="576"/>
      <c r="N141" s="517"/>
      <c r="O141" s="576"/>
      <c r="P141" s="576"/>
      <c r="Q141" s="576"/>
      <c r="R141" s="517"/>
      <c r="S141" s="576"/>
      <c r="T141" s="576"/>
    </row>
    <row r="142" spans="2:20" ht="13.5" thickBot="1">
      <c r="B142" s="574"/>
      <c r="C142" s="575"/>
      <c r="D142" s="576"/>
      <c r="E142" s="576"/>
      <c r="F142" s="576"/>
      <c r="G142" s="576"/>
      <c r="H142" s="576"/>
      <c r="I142" s="576"/>
      <c r="J142" s="576"/>
      <c r="K142" s="576"/>
      <c r="L142" s="576"/>
      <c r="M142" s="576"/>
      <c r="N142" s="517"/>
      <c r="O142" s="576"/>
      <c r="P142" s="576"/>
      <c r="Q142" s="576"/>
      <c r="R142" s="517"/>
      <c r="S142" s="576"/>
      <c r="T142" s="576"/>
    </row>
    <row r="143" spans="2:20">
      <c r="B143" s="1890" t="s">
        <v>263</v>
      </c>
      <c r="C143" s="1888" t="s">
        <v>210</v>
      </c>
      <c r="D143" s="520" t="s">
        <v>211</v>
      </c>
      <c r="E143" s="521"/>
      <c r="F143" s="521"/>
      <c r="G143" s="521"/>
      <c r="H143" s="522"/>
      <c r="I143" s="521" t="s">
        <v>212</v>
      </c>
      <c r="J143" s="523"/>
      <c r="K143" s="523"/>
      <c r="L143" s="523"/>
      <c r="M143" s="522"/>
      <c r="N143" s="517"/>
      <c r="O143" s="524" t="s">
        <v>211</v>
      </c>
      <c r="P143" s="525"/>
      <c r="Q143" s="526"/>
      <c r="R143" s="517"/>
      <c r="S143" s="524" t="s">
        <v>212</v>
      </c>
      <c r="T143" s="526"/>
    </row>
    <row r="144" spans="2:20">
      <c r="B144" s="1891"/>
      <c r="C144" s="1889"/>
      <c r="D144" s="528" t="s">
        <v>99</v>
      </c>
      <c r="E144" s="529" t="s">
        <v>100</v>
      </c>
      <c r="F144" s="529" t="s">
        <v>101</v>
      </c>
      <c r="G144" s="529" t="s">
        <v>102</v>
      </c>
      <c r="H144" s="530" t="s">
        <v>64</v>
      </c>
      <c r="I144" s="531" t="s">
        <v>213</v>
      </c>
      <c r="J144" s="529" t="s">
        <v>214</v>
      </c>
      <c r="K144" s="529" t="s">
        <v>215</v>
      </c>
      <c r="L144" s="529" t="s">
        <v>216</v>
      </c>
      <c r="M144" s="530" t="s">
        <v>217</v>
      </c>
      <c r="N144" s="517"/>
      <c r="O144" s="532" t="s">
        <v>218</v>
      </c>
      <c r="P144" s="533" t="s">
        <v>219</v>
      </c>
      <c r="Q144" s="534" t="s">
        <v>220</v>
      </c>
      <c r="R144" s="517"/>
      <c r="S144" s="532" t="s">
        <v>219</v>
      </c>
      <c r="T144" s="534" t="s">
        <v>221</v>
      </c>
    </row>
    <row r="145" spans="2:20">
      <c r="B145" s="684" t="s">
        <v>264</v>
      </c>
      <c r="C145" s="685"/>
      <c r="D145" s="605"/>
      <c r="E145" s="606"/>
      <c r="F145" s="606"/>
      <c r="G145" s="606"/>
      <c r="H145" s="607"/>
      <c r="I145" s="609"/>
      <c r="J145" s="609"/>
      <c r="K145" s="609"/>
      <c r="L145" s="609"/>
      <c r="M145" s="610"/>
      <c r="N145" s="517"/>
      <c r="O145" s="608"/>
      <c r="P145" s="609"/>
      <c r="Q145" s="610"/>
      <c r="R145" s="517"/>
      <c r="S145" s="608"/>
      <c r="T145" s="610"/>
    </row>
    <row r="146" spans="2:20">
      <c r="B146" s="577" t="s">
        <v>265</v>
      </c>
      <c r="C146" s="578"/>
      <c r="D146" s="579"/>
      <c r="E146" s="580"/>
      <c r="F146" s="580"/>
      <c r="G146" s="580"/>
      <c r="H146" s="581"/>
      <c r="I146" s="580"/>
      <c r="J146" s="580"/>
      <c r="K146" s="580"/>
      <c r="L146" s="580"/>
      <c r="M146" s="581"/>
      <c r="N146" s="517"/>
      <c r="O146" s="582"/>
      <c r="P146" s="583"/>
      <c r="Q146" s="584"/>
      <c r="R146" s="517"/>
      <c r="S146" s="579"/>
      <c r="T146" s="581"/>
    </row>
    <row r="147" spans="2:20">
      <c r="B147" s="585" t="s">
        <v>306</v>
      </c>
      <c r="C147" s="586" t="s">
        <v>223</v>
      </c>
      <c r="D147" s="686"/>
      <c r="E147" s="687"/>
      <c r="F147" s="687"/>
      <c r="G147" s="687"/>
      <c r="H147" s="688"/>
      <c r="I147" s="564"/>
      <c r="J147" s="566"/>
      <c r="K147" s="566"/>
      <c r="L147" s="566"/>
      <c r="M147" s="565"/>
      <c r="N147" s="517"/>
      <c r="O147" s="560"/>
      <c r="P147" s="561"/>
      <c r="Q147" s="562"/>
      <c r="R147" s="517"/>
      <c r="S147" s="560"/>
      <c r="T147" s="563"/>
    </row>
    <row r="148" spans="2:20">
      <c r="B148" s="585" t="s">
        <v>333</v>
      </c>
      <c r="C148" s="586" t="s">
        <v>334</v>
      </c>
      <c r="D148" s="689"/>
      <c r="E148" s="690"/>
      <c r="F148" s="690"/>
      <c r="G148" s="690"/>
      <c r="H148" s="691"/>
      <c r="I148" s="692"/>
      <c r="J148" s="693"/>
      <c r="K148" s="693"/>
      <c r="L148" s="693"/>
      <c r="M148" s="694"/>
      <c r="N148" s="517"/>
      <c r="O148" s="560"/>
      <c r="P148" s="561"/>
      <c r="Q148" s="562"/>
      <c r="R148" s="517"/>
      <c r="S148" s="560"/>
      <c r="T148" s="563"/>
    </row>
    <row r="149" spans="2:20">
      <c r="B149" s="585" t="s">
        <v>335</v>
      </c>
      <c r="C149" s="586" t="s">
        <v>334</v>
      </c>
      <c r="D149" s="689"/>
      <c r="E149" s="690"/>
      <c r="F149" s="690"/>
      <c r="G149" s="690"/>
      <c r="H149" s="691"/>
      <c r="I149" s="695">
        <f>1-I148</f>
        <v>1</v>
      </c>
      <c r="J149" s="696">
        <f>1-J148</f>
        <v>1</v>
      </c>
      <c r="K149" s="696">
        <f>1-K148</f>
        <v>1</v>
      </c>
      <c r="L149" s="696">
        <f>1-L148</f>
        <v>1</v>
      </c>
      <c r="M149" s="697">
        <f>1-M148</f>
        <v>1</v>
      </c>
      <c r="N149" s="517"/>
      <c r="O149" s="560"/>
      <c r="P149" s="561"/>
      <c r="Q149" s="562"/>
      <c r="R149" s="517"/>
      <c r="S149" s="560"/>
      <c r="T149" s="563"/>
    </row>
    <row r="150" spans="2:20">
      <c r="B150" s="585" t="s">
        <v>307</v>
      </c>
      <c r="C150" s="586" t="s">
        <v>223</v>
      </c>
      <c r="D150" s="686"/>
      <c r="E150" s="687"/>
      <c r="F150" s="687"/>
      <c r="G150" s="687"/>
      <c r="H150" s="688"/>
      <c r="I150" s="564"/>
      <c r="J150" s="566"/>
      <c r="K150" s="566"/>
      <c r="L150" s="566"/>
      <c r="M150" s="565"/>
      <c r="N150" s="517"/>
      <c r="O150" s="560"/>
      <c r="P150" s="561"/>
      <c r="Q150" s="562"/>
      <c r="R150" s="517"/>
      <c r="S150" s="560"/>
      <c r="T150" s="563"/>
    </row>
    <row r="151" spans="2:20">
      <c r="B151" s="585" t="s">
        <v>336</v>
      </c>
      <c r="C151" s="586" t="s">
        <v>334</v>
      </c>
      <c r="D151" s="686"/>
      <c r="E151" s="687"/>
      <c r="F151" s="687"/>
      <c r="G151" s="687"/>
      <c r="H151" s="688"/>
      <c r="I151" s="564"/>
      <c r="J151" s="566"/>
      <c r="K151" s="566"/>
      <c r="L151" s="566"/>
      <c r="M151" s="565"/>
      <c r="N151" s="517"/>
      <c r="O151" s="560"/>
      <c r="P151" s="561"/>
      <c r="Q151" s="562"/>
      <c r="R151" s="517"/>
      <c r="S151" s="560"/>
      <c r="T151" s="563"/>
    </row>
    <row r="152" spans="2:20">
      <c r="B152" s="585" t="s">
        <v>337</v>
      </c>
      <c r="C152" s="586" t="s">
        <v>334</v>
      </c>
      <c r="D152" s="689"/>
      <c r="E152" s="690"/>
      <c r="F152" s="690"/>
      <c r="G152" s="690"/>
      <c r="H152" s="691"/>
      <c r="I152" s="695">
        <f>1-I151</f>
        <v>1</v>
      </c>
      <c r="J152" s="696">
        <f>1-J151</f>
        <v>1</v>
      </c>
      <c r="K152" s="696">
        <f>1-K151</f>
        <v>1</v>
      </c>
      <c r="L152" s="696">
        <f>1-L151</f>
        <v>1</v>
      </c>
      <c r="M152" s="697">
        <f>1-M151</f>
        <v>1</v>
      </c>
      <c r="N152" s="517"/>
      <c r="O152" s="560"/>
      <c r="P152" s="561"/>
      <c r="Q152" s="562"/>
      <c r="R152" s="517"/>
      <c r="S152" s="560"/>
      <c r="T152" s="563"/>
    </row>
    <row r="153" spans="2:20">
      <c r="B153" s="593" t="s">
        <v>268</v>
      </c>
      <c r="C153" s="586" t="s">
        <v>223</v>
      </c>
      <c r="D153" s="549"/>
      <c r="E153" s="564"/>
      <c r="F153" s="564"/>
      <c r="G153" s="564"/>
      <c r="H153" s="565"/>
      <c r="I153" s="594">
        <f>SUM(I147,I150)</f>
        <v>0</v>
      </c>
      <c r="J153" s="541">
        <f>SUM(J147,J150)</f>
        <v>0</v>
      </c>
      <c r="K153" s="541">
        <f>SUM(K147,K150)</f>
        <v>0</v>
      </c>
      <c r="L153" s="541">
        <f>SUM(L147,L150)</f>
        <v>0</v>
      </c>
      <c r="M153" s="542">
        <f>SUM(M147,M150)</f>
        <v>0</v>
      </c>
      <c r="N153" s="517"/>
      <c r="O153" s="540">
        <f>SUM(D153:G153)</f>
        <v>0</v>
      </c>
      <c r="P153" s="541">
        <f>SUM(H153)</f>
        <v>0</v>
      </c>
      <c r="Q153" s="542">
        <f>SUM(D153:H153)</f>
        <v>0</v>
      </c>
      <c r="R153" s="517"/>
      <c r="S153" s="540">
        <f>SUM(I153:M153)</f>
        <v>0</v>
      </c>
      <c r="T153" s="165" t="str">
        <f>IF(Q153&lt;&gt;0,(S153-Q153)/Q153,"0")</f>
        <v>0</v>
      </c>
    </row>
    <row r="154" spans="2:20">
      <c r="B154" s="577" t="s">
        <v>338</v>
      </c>
      <c r="C154" s="595"/>
      <c r="D154" s="596"/>
      <c r="E154" s="597"/>
      <c r="F154" s="597"/>
      <c r="G154" s="597"/>
      <c r="H154" s="598"/>
      <c r="I154" s="597"/>
      <c r="J154" s="597"/>
      <c r="K154" s="597"/>
      <c r="L154" s="597"/>
      <c r="M154" s="598"/>
      <c r="N154" s="517"/>
      <c r="O154" s="599"/>
      <c r="P154" s="597"/>
      <c r="Q154" s="598"/>
      <c r="R154" s="517"/>
      <c r="S154" s="596"/>
      <c r="T154" s="598"/>
    </row>
    <row r="155" spans="2:20">
      <c r="B155" s="585" t="s">
        <v>308</v>
      </c>
      <c r="C155" s="586" t="s">
        <v>223</v>
      </c>
      <c r="D155" s="686"/>
      <c r="E155" s="687"/>
      <c r="F155" s="687"/>
      <c r="G155" s="687"/>
      <c r="H155" s="688"/>
      <c r="I155" s="564"/>
      <c r="J155" s="566"/>
      <c r="K155" s="566"/>
      <c r="L155" s="566"/>
      <c r="M155" s="565"/>
      <c r="N155" s="517"/>
      <c r="O155" s="560"/>
      <c r="P155" s="561"/>
      <c r="Q155" s="562"/>
      <c r="R155" s="517"/>
      <c r="S155" s="560"/>
      <c r="T155" s="563"/>
    </row>
    <row r="156" spans="2:20">
      <c r="B156" s="585" t="s">
        <v>339</v>
      </c>
      <c r="C156" s="586" t="s">
        <v>334</v>
      </c>
      <c r="D156" s="689"/>
      <c r="E156" s="690"/>
      <c r="F156" s="690"/>
      <c r="G156" s="690"/>
      <c r="H156" s="691"/>
      <c r="I156" s="692"/>
      <c r="J156" s="693"/>
      <c r="K156" s="693"/>
      <c r="L156" s="693"/>
      <c r="M156" s="694"/>
      <c r="N156" s="517"/>
      <c r="O156" s="560"/>
      <c r="P156" s="561"/>
      <c r="Q156" s="562"/>
      <c r="R156" s="517"/>
      <c r="S156" s="560"/>
      <c r="T156" s="563"/>
    </row>
    <row r="157" spans="2:20">
      <c r="B157" s="585" t="s">
        <v>340</v>
      </c>
      <c r="C157" s="586" t="s">
        <v>334</v>
      </c>
      <c r="D157" s="689"/>
      <c r="E157" s="690"/>
      <c r="F157" s="690"/>
      <c r="G157" s="690"/>
      <c r="H157" s="691"/>
      <c r="I157" s="695">
        <f>1-I156</f>
        <v>1</v>
      </c>
      <c r="J157" s="696">
        <f>1-J156</f>
        <v>1</v>
      </c>
      <c r="K157" s="696">
        <f>1-K156</f>
        <v>1</v>
      </c>
      <c r="L157" s="696">
        <f>1-L156</f>
        <v>1</v>
      </c>
      <c r="M157" s="697">
        <f>1-M156</f>
        <v>1</v>
      </c>
      <c r="N157" s="517"/>
      <c r="O157" s="560"/>
      <c r="P157" s="561"/>
      <c r="Q157" s="562"/>
      <c r="R157" s="517"/>
      <c r="S157" s="560"/>
      <c r="T157" s="563"/>
    </row>
    <row r="158" spans="2:20">
      <c r="B158" s="585" t="s">
        <v>309</v>
      </c>
      <c r="C158" s="586" t="s">
        <v>223</v>
      </c>
      <c r="D158" s="686"/>
      <c r="E158" s="687"/>
      <c r="F158" s="687"/>
      <c r="G158" s="687"/>
      <c r="H158" s="688"/>
      <c r="I158" s="564"/>
      <c r="J158" s="566"/>
      <c r="K158" s="566"/>
      <c r="L158" s="566"/>
      <c r="M158" s="565"/>
      <c r="N158" s="517"/>
      <c r="O158" s="560"/>
      <c r="P158" s="561"/>
      <c r="Q158" s="562"/>
      <c r="R158" s="517"/>
      <c r="S158" s="560"/>
      <c r="T158" s="563"/>
    </row>
    <row r="159" spans="2:20">
      <c r="B159" s="585" t="s">
        <v>341</v>
      </c>
      <c r="C159" s="586" t="s">
        <v>334</v>
      </c>
      <c r="D159" s="686"/>
      <c r="E159" s="687"/>
      <c r="F159" s="687"/>
      <c r="G159" s="687"/>
      <c r="H159" s="688"/>
      <c r="I159" s="564"/>
      <c r="J159" s="566"/>
      <c r="K159" s="566"/>
      <c r="L159" s="566"/>
      <c r="M159" s="565"/>
      <c r="N159" s="517"/>
      <c r="O159" s="560"/>
      <c r="P159" s="561"/>
      <c r="Q159" s="562"/>
      <c r="R159" s="517"/>
      <c r="S159" s="560"/>
      <c r="T159" s="563"/>
    </row>
    <row r="160" spans="2:20">
      <c r="B160" s="585" t="s">
        <v>342</v>
      </c>
      <c r="C160" s="586" t="s">
        <v>334</v>
      </c>
      <c r="D160" s="689"/>
      <c r="E160" s="690"/>
      <c r="F160" s="690"/>
      <c r="G160" s="690"/>
      <c r="H160" s="691"/>
      <c r="I160" s="695">
        <f>1-I159</f>
        <v>1</v>
      </c>
      <c r="J160" s="696">
        <f>1-J159</f>
        <v>1</v>
      </c>
      <c r="K160" s="696">
        <f>1-K159</f>
        <v>1</v>
      </c>
      <c r="L160" s="696">
        <f>1-L159</f>
        <v>1</v>
      </c>
      <c r="M160" s="697">
        <f>1-M159</f>
        <v>1</v>
      </c>
      <c r="N160" s="517"/>
      <c r="O160" s="560"/>
      <c r="P160" s="561"/>
      <c r="Q160" s="562"/>
      <c r="R160" s="517"/>
      <c r="S160" s="560"/>
      <c r="T160" s="563"/>
    </row>
    <row r="161" spans="2:20">
      <c r="B161" s="593" t="s">
        <v>270</v>
      </c>
      <c r="C161" s="586" t="s">
        <v>223</v>
      </c>
      <c r="D161" s="549"/>
      <c r="E161" s="564"/>
      <c r="F161" s="564"/>
      <c r="G161" s="564"/>
      <c r="H161" s="565"/>
      <c r="I161" s="594">
        <f>SUM(I155,I158)</f>
        <v>0</v>
      </c>
      <c r="J161" s="541">
        <f>SUM(J155,J158)</f>
        <v>0</v>
      </c>
      <c r="K161" s="541">
        <f>SUM(K155,K158)</f>
        <v>0</v>
      </c>
      <c r="L161" s="541">
        <f>SUM(L155,L158)</f>
        <v>0</v>
      </c>
      <c r="M161" s="542">
        <f>SUM(M155,M158)</f>
        <v>0</v>
      </c>
      <c r="N161" s="517"/>
      <c r="O161" s="540">
        <f>SUM(D161:G161)</f>
        <v>0</v>
      </c>
      <c r="P161" s="541">
        <f>SUM(H161)</f>
        <v>0</v>
      </c>
      <c r="Q161" s="542">
        <f>SUM(D161:H161)</f>
        <v>0</v>
      </c>
      <c r="R161" s="517"/>
      <c r="S161" s="540">
        <f>SUM(I161:M161)</f>
        <v>0</v>
      </c>
      <c r="T161" s="165" t="str">
        <f>IF(Q161&lt;&gt;0,(S161-Q161)/Q161,"0")</f>
        <v>0</v>
      </c>
    </row>
    <row r="162" spans="2:20">
      <c r="B162" s="577" t="s">
        <v>343</v>
      </c>
      <c r="C162" s="595"/>
      <c r="D162" s="596"/>
      <c r="E162" s="597"/>
      <c r="F162" s="597"/>
      <c r="G162" s="597"/>
      <c r="H162" s="598"/>
      <c r="I162" s="597"/>
      <c r="J162" s="597"/>
      <c r="K162" s="597"/>
      <c r="L162" s="597"/>
      <c r="M162" s="598"/>
      <c r="N162" s="517"/>
      <c r="O162" s="596"/>
      <c r="P162" s="597"/>
      <c r="Q162" s="598"/>
      <c r="R162" s="517"/>
      <c r="S162" s="596"/>
      <c r="T162" s="598"/>
    </row>
    <row r="163" spans="2:20">
      <c r="B163" s="585" t="s">
        <v>310</v>
      </c>
      <c r="C163" s="586" t="s">
        <v>223</v>
      </c>
      <c r="D163" s="686"/>
      <c r="E163" s="687"/>
      <c r="F163" s="687"/>
      <c r="G163" s="687"/>
      <c r="H163" s="688"/>
      <c r="I163" s="564"/>
      <c r="J163" s="566"/>
      <c r="K163" s="566"/>
      <c r="L163" s="566"/>
      <c r="M163" s="565"/>
      <c r="N163" s="517"/>
      <c r="O163" s="560"/>
      <c r="P163" s="561"/>
      <c r="Q163" s="562"/>
      <c r="R163" s="517"/>
      <c r="S163" s="560"/>
      <c r="T163" s="563"/>
    </row>
    <row r="164" spans="2:20">
      <c r="B164" s="585" t="s">
        <v>344</v>
      </c>
      <c r="C164" s="586" t="s">
        <v>334</v>
      </c>
      <c r="D164" s="689"/>
      <c r="E164" s="690"/>
      <c r="F164" s="690"/>
      <c r="G164" s="690"/>
      <c r="H164" s="691"/>
      <c r="I164" s="692"/>
      <c r="J164" s="693"/>
      <c r="K164" s="693"/>
      <c r="L164" s="693"/>
      <c r="M164" s="694"/>
      <c r="N164" s="517"/>
      <c r="O164" s="560"/>
      <c r="P164" s="561"/>
      <c r="Q164" s="562"/>
      <c r="R164" s="517"/>
      <c r="S164" s="560"/>
      <c r="T164" s="563"/>
    </row>
    <row r="165" spans="2:20">
      <c r="B165" s="585" t="s">
        <v>345</v>
      </c>
      <c r="C165" s="586" t="s">
        <v>334</v>
      </c>
      <c r="D165" s="689"/>
      <c r="E165" s="690"/>
      <c r="F165" s="690"/>
      <c r="G165" s="690"/>
      <c r="H165" s="691"/>
      <c r="I165" s="695">
        <f>1-I164</f>
        <v>1</v>
      </c>
      <c r="J165" s="696">
        <f>1-J164</f>
        <v>1</v>
      </c>
      <c r="K165" s="696">
        <f>1-K164</f>
        <v>1</v>
      </c>
      <c r="L165" s="696">
        <f>1-L164</f>
        <v>1</v>
      </c>
      <c r="M165" s="697">
        <f>1-M164</f>
        <v>1</v>
      </c>
      <c r="N165" s="517"/>
      <c r="O165" s="560"/>
      <c r="P165" s="561"/>
      <c r="Q165" s="562"/>
      <c r="R165" s="517"/>
      <c r="S165" s="560"/>
      <c r="T165" s="563"/>
    </row>
    <row r="166" spans="2:20">
      <c r="B166" s="585" t="s">
        <v>311</v>
      </c>
      <c r="C166" s="586" t="s">
        <v>223</v>
      </c>
      <c r="D166" s="686"/>
      <c r="E166" s="687"/>
      <c r="F166" s="687"/>
      <c r="G166" s="687"/>
      <c r="H166" s="688"/>
      <c r="I166" s="564"/>
      <c r="J166" s="566"/>
      <c r="K166" s="566"/>
      <c r="L166" s="566"/>
      <c r="M166" s="565"/>
      <c r="N166" s="517"/>
      <c r="O166" s="560"/>
      <c r="P166" s="561"/>
      <c r="Q166" s="562"/>
      <c r="R166" s="517"/>
      <c r="S166" s="560"/>
      <c r="T166" s="563"/>
    </row>
    <row r="167" spans="2:20">
      <c r="B167" s="585" t="s">
        <v>346</v>
      </c>
      <c r="C167" s="586" t="s">
        <v>334</v>
      </c>
      <c r="D167" s="698"/>
      <c r="E167" s="699"/>
      <c r="F167" s="699"/>
      <c r="G167" s="699"/>
      <c r="H167" s="700"/>
      <c r="I167" s="701"/>
      <c r="J167" s="702"/>
      <c r="K167" s="702"/>
      <c r="L167" s="702"/>
      <c r="M167" s="703"/>
      <c r="N167" s="517"/>
      <c r="O167" s="560"/>
      <c r="P167" s="561"/>
      <c r="Q167" s="562"/>
      <c r="R167" s="517"/>
      <c r="S167" s="560"/>
      <c r="T167" s="563"/>
    </row>
    <row r="168" spans="2:20">
      <c r="B168" s="585" t="s">
        <v>347</v>
      </c>
      <c r="C168" s="586" t="s">
        <v>334</v>
      </c>
      <c r="D168" s="689"/>
      <c r="E168" s="690"/>
      <c r="F168" s="690"/>
      <c r="G168" s="690"/>
      <c r="H168" s="691"/>
      <c r="I168" s="695">
        <f>1-I167</f>
        <v>1</v>
      </c>
      <c r="J168" s="696">
        <f>1-J167</f>
        <v>1</v>
      </c>
      <c r="K168" s="696">
        <f>1-K167</f>
        <v>1</v>
      </c>
      <c r="L168" s="696">
        <f>1-L167</f>
        <v>1</v>
      </c>
      <c r="M168" s="697">
        <f>1-M167</f>
        <v>1</v>
      </c>
      <c r="N168" s="517"/>
      <c r="O168" s="560"/>
      <c r="P168" s="561"/>
      <c r="Q168" s="562"/>
      <c r="R168" s="517"/>
      <c r="S168" s="560"/>
      <c r="T168" s="563"/>
    </row>
    <row r="169" spans="2:20">
      <c r="B169" s="593" t="s">
        <v>272</v>
      </c>
      <c r="C169" s="586" t="s">
        <v>223</v>
      </c>
      <c r="D169" s="549"/>
      <c r="E169" s="564"/>
      <c r="F169" s="564"/>
      <c r="G169" s="564"/>
      <c r="H169" s="565"/>
      <c r="I169" s="594">
        <f>SUM(I163,I166)</f>
        <v>0</v>
      </c>
      <c r="J169" s="541">
        <f>SUM(J163,J166)</f>
        <v>0</v>
      </c>
      <c r="K169" s="541">
        <f>SUM(K163,K166)</f>
        <v>0</v>
      </c>
      <c r="L169" s="541">
        <f>SUM(L163,L166)</f>
        <v>0</v>
      </c>
      <c r="M169" s="542">
        <f>SUM(M163,M166)</f>
        <v>0</v>
      </c>
      <c r="N169" s="517"/>
      <c r="O169" s="540">
        <f>SUM(D169:G169)</f>
        <v>0</v>
      </c>
      <c r="P169" s="541">
        <f>SUM(H169)</f>
        <v>0</v>
      </c>
      <c r="Q169" s="542">
        <f>SUM(D169:H169)</f>
        <v>0</v>
      </c>
      <c r="R169" s="517"/>
      <c r="S169" s="540">
        <f>SUM(I169:M169)</f>
        <v>0</v>
      </c>
      <c r="T169" s="165" t="str">
        <f>IF(Q169&lt;&gt;0,(S169-Q169)/Q169,"0")</f>
        <v>0</v>
      </c>
    </row>
    <row r="170" spans="2:20">
      <c r="B170" s="577" t="s">
        <v>348</v>
      </c>
      <c r="C170" s="595"/>
      <c r="D170" s="596"/>
      <c r="E170" s="597"/>
      <c r="F170" s="597"/>
      <c r="G170" s="597"/>
      <c r="H170" s="598"/>
      <c r="I170" s="597"/>
      <c r="J170" s="597"/>
      <c r="K170" s="597"/>
      <c r="L170" s="597"/>
      <c r="M170" s="598"/>
      <c r="N170" s="517"/>
      <c r="O170" s="596"/>
      <c r="P170" s="597"/>
      <c r="Q170" s="598"/>
      <c r="R170" s="517"/>
      <c r="S170" s="596"/>
      <c r="T170" s="598"/>
    </row>
    <row r="171" spans="2:20">
      <c r="B171" s="585" t="s">
        <v>312</v>
      </c>
      <c r="C171" s="586" t="s">
        <v>223</v>
      </c>
      <c r="D171" s="686"/>
      <c r="E171" s="687"/>
      <c r="F171" s="687"/>
      <c r="G171" s="687"/>
      <c r="H171" s="688"/>
      <c r="I171" s="564"/>
      <c r="J171" s="566"/>
      <c r="K171" s="566"/>
      <c r="L171" s="566"/>
      <c r="M171" s="565"/>
      <c r="N171" s="517"/>
      <c r="O171" s="560"/>
      <c r="P171" s="561"/>
      <c r="Q171" s="562"/>
      <c r="R171" s="517"/>
      <c r="S171" s="560"/>
      <c r="T171" s="563"/>
    </row>
    <row r="172" spans="2:20">
      <c r="B172" s="585" t="s">
        <v>349</v>
      </c>
      <c r="C172" s="586" t="s">
        <v>334</v>
      </c>
      <c r="D172" s="689"/>
      <c r="E172" s="690"/>
      <c r="F172" s="690"/>
      <c r="G172" s="690"/>
      <c r="H172" s="691"/>
      <c r="I172" s="692"/>
      <c r="J172" s="693"/>
      <c r="K172" s="693"/>
      <c r="L172" s="693"/>
      <c r="M172" s="694"/>
      <c r="N172" s="517"/>
      <c r="O172" s="560"/>
      <c r="P172" s="561"/>
      <c r="Q172" s="562"/>
      <c r="R172" s="517"/>
      <c r="S172" s="560"/>
      <c r="T172" s="563"/>
    </row>
    <row r="173" spans="2:20">
      <c r="B173" s="585" t="s">
        <v>350</v>
      </c>
      <c r="C173" s="586" t="s">
        <v>334</v>
      </c>
      <c r="D173" s="689"/>
      <c r="E173" s="690"/>
      <c r="F173" s="690"/>
      <c r="G173" s="690"/>
      <c r="H173" s="691"/>
      <c r="I173" s="695">
        <f>1-I172</f>
        <v>1</v>
      </c>
      <c r="J173" s="696">
        <f>1-J172</f>
        <v>1</v>
      </c>
      <c r="K173" s="696">
        <f>1-K172</f>
        <v>1</v>
      </c>
      <c r="L173" s="696">
        <f>1-L172</f>
        <v>1</v>
      </c>
      <c r="M173" s="697">
        <f>1-M172</f>
        <v>1</v>
      </c>
      <c r="N173" s="517"/>
      <c r="O173" s="560"/>
      <c r="P173" s="561"/>
      <c r="Q173" s="562"/>
      <c r="R173" s="517"/>
      <c r="S173" s="560"/>
      <c r="T173" s="563"/>
    </row>
    <row r="174" spans="2:20">
      <c r="B174" s="585" t="s">
        <v>313</v>
      </c>
      <c r="C174" s="586" t="s">
        <v>223</v>
      </c>
      <c r="D174" s="686"/>
      <c r="E174" s="687"/>
      <c r="F174" s="687"/>
      <c r="G174" s="687"/>
      <c r="H174" s="688"/>
      <c r="I174" s="564"/>
      <c r="J174" s="566"/>
      <c r="K174" s="566"/>
      <c r="L174" s="566"/>
      <c r="M174" s="565"/>
      <c r="N174" s="517"/>
      <c r="O174" s="560"/>
      <c r="P174" s="561"/>
      <c r="Q174" s="562"/>
      <c r="R174" s="517"/>
      <c r="S174" s="560"/>
      <c r="T174" s="563"/>
    </row>
    <row r="175" spans="2:20">
      <c r="B175" s="585" t="s">
        <v>351</v>
      </c>
      <c r="C175" s="586" t="s">
        <v>334</v>
      </c>
      <c r="D175" s="698"/>
      <c r="E175" s="699"/>
      <c r="F175" s="699"/>
      <c r="G175" s="699"/>
      <c r="H175" s="700"/>
      <c r="I175" s="701"/>
      <c r="J175" s="702"/>
      <c r="K175" s="702"/>
      <c r="L175" s="702"/>
      <c r="M175" s="703"/>
      <c r="N175" s="517"/>
      <c r="O175" s="560"/>
      <c r="P175" s="561"/>
      <c r="Q175" s="562"/>
      <c r="R175" s="517"/>
      <c r="S175" s="560"/>
      <c r="T175" s="563"/>
    </row>
    <row r="176" spans="2:20">
      <c r="B176" s="585" t="s">
        <v>352</v>
      </c>
      <c r="C176" s="586" t="s">
        <v>334</v>
      </c>
      <c r="D176" s="689"/>
      <c r="E176" s="690"/>
      <c r="F176" s="690"/>
      <c r="G176" s="690"/>
      <c r="H176" s="691"/>
      <c r="I176" s="695">
        <f>1-I175</f>
        <v>1</v>
      </c>
      <c r="J176" s="696">
        <f>1-J175</f>
        <v>1</v>
      </c>
      <c r="K176" s="696">
        <f>1-K175</f>
        <v>1</v>
      </c>
      <c r="L176" s="696">
        <f>1-L175</f>
        <v>1</v>
      </c>
      <c r="M176" s="697">
        <f>1-M175</f>
        <v>1</v>
      </c>
      <c r="N176" s="517"/>
      <c r="O176" s="560"/>
      <c r="P176" s="561"/>
      <c r="Q176" s="562"/>
      <c r="R176" s="517"/>
      <c r="S176" s="560"/>
      <c r="T176" s="563"/>
    </row>
    <row r="177" spans="2:20">
      <c r="B177" s="704" t="s">
        <v>274</v>
      </c>
      <c r="C177" s="586" t="s">
        <v>223</v>
      </c>
      <c r="D177" s="705"/>
      <c r="E177" s="706"/>
      <c r="F177" s="706"/>
      <c r="G177" s="706"/>
      <c r="H177" s="707"/>
      <c r="I177" s="708">
        <f>SUM(I171,I174)</f>
        <v>0</v>
      </c>
      <c r="J177" s="709">
        <f>SUM(J171,J174)</f>
        <v>0</v>
      </c>
      <c r="K177" s="709">
        <f>SUM(K171,K174)</f>
        <v>0</v>
      </c>
      <c r="L177" s="709">
        <f>SUM(L171,L174)</f>
        <v>0</v>
      </c>
      <c r="M177" s="710">
        <f>SUM(M171,M174)</f>
        <v>0</v>
      </c>
      <c r="N177" s="517"/>
      <c r="O177" s="540">
        <f>SUM(D177:G177)</f>
        <v>0</v>
      </c>
      <c r="P177" s="541">
        <f>SUM(H177)</f>
        <v>0</v>
      </c>
      <c r="Q177" s="542">
        <f>SUM(D177:H177)</f>
        <v>0</v>
      </c>
      <c r="R177" s="517"/>
      <c r="S177" s="540">
        <f>SUM(I177:M177)</f>
        <v>0</v>
      </c>
      <c r="T177" s="165" t="str">
        <f>IF(Q177&lt;&gt;0,(S177-Q177)/Q177,"0")</f>
        <v>0</v>
      </c>
    </row>
    <row r="178" spans="2:20" ht="13.5" thickBot="1">
      <c r="B178" s="711" t="s">
        <v>353</v>
      </c>
      <c r="C178" s="712"/>
      <c r="D178" s="713">
        <f t="shared" ref="D178:M178" si="23">SUM(D153,D161,D169,D177)</f>
        <v>0</v>
      </c>
      <c r="E178" s="713">
        <f t="shared" si="23"/>
        <v>0</v>
      </c>
      <c r="F178" s="713">
        <f t="shared" si="23"/>
        <v>0</v>
      </c>
      <c r="G178" s="713">
        <f t="shared" si="23"/>
        <v>0</v>
      </c>
      <c r="H178" s="713">
        <f t="shared" si="23"/>
        <v>0</v>
      </c>
      <c r="I178" s="714">
        <f t="shared" si="23"/>
        <v>0</v>
      </c>
      <c r="J178" s="714">
        <f t="shared" si="23"/>
        <v>0</v>
      </c>
      <c r="K178" s="714">
        <f t="shared" si="23"/>
        <v>0</v>
      </c>
      <c r="L178" s="714">
        <f t="shared" si="23"/>
        <v>0</v>
      </c>
      <c r="M178" s="715">
        <f t="shared" si="23"/>
        <v>0</v>
      </c>
      <c r="N178" s="517"/>
      <c r="O178" s="571">
        <f>SUM(O153,O161,O169,O177)</f>
        <v>0</v>
      </c>
      <c r="P178" s="572">
        <f>SUM(P153,P161,P169,P177)</f>
        <v>0</v>
      </c>
      <c r="Q178" s="573">
        <f>SUM(Q153,Q161,Q169,Q177)</f>
        <v>0</v>
      </c>
      <c r="R178" s="517"/>
      <c r="S178" s="571">
        <f>SUM(S153,S161,S169,S177)</f>
        <v>0</v>
      </c>
      <c r="T178" s="189" t="str">
        <f>IF(Q178&lt;&gt;0,(S178-Q178)/Q178,"0")</f>
        <v>0</v>
      </c>
    </row>
    <row r="179" spans="2:20">
      <c r="C179" s="514"/>
      <c r="D179" s="514"/>
      <c r="E179" s="514"/>
      <c r="F179" s="514"/>
      <c r="G179" s="514"/>
      <c r="H179" s="514"/>
      <c r="I179" s="514"/>
      <c r="J179" s="514"/>
      <c r="K179" s="514"/>
      <c r="L179" s="514"/>
      <c r="M179" s="514"/>
      <c r="N179" s="514"/>
      <c r="O179" s="514"/>
      <c r="P179" s="514"/>
      <c r="Q179" s="514"/>
      <c r="R179" s="514"/>
      <c r="S179" s="514"/>
      <c r="T179" s="514"/>
    </row>
    <row r="180" spans="2:20">
      <c r="B180" s="574" t="s">
        <v>354</v>
      </c>
      <c r="C180" s="575"/>
      <c r="D180" s="576"/>
      <c r="E180" s="576"/>
      <c r="F180" s="576"/>
      <c r="G180" s="576"/>
      <c r="H180" s="576"/>
      <c r="I180" s="576"/>
      <c r="J180" s="576"/>
      <c r="K180" s="576"/>
      <c r="L180" s="576"/>
      <c r="M180" s="576"/>
      <c r="N180" s="517"/>
      <c r="O180" s="576"/>
      <c r="P180" s="576"/>
      <c r="Q180" s="576"/>
      <c r="R180" s="517"/>
      <c r="S180" s="576"/>
      <c r="T180" s="576"/>
    </row>
    <row r="181" spans="2:20" ht="13.5" thickBot="1">
      <c r="B181" s="574"/>
      <c r="C181" s="575"/>
      <c r="D181" s="576"/>
      <c r="E181" s="576"/>
      <c r="F181" s="576"/>
      <c r="G181" s="576"/>
      <c r="H181" s="576"/>
      <c r="I181" s="576"/>
      <c r="J181" s="576"/>
      <c r="K181" s="576"/>
      <c r="L181" s="576"/>
      <c r="M181" s="576"/>
      <c r="N181" s="517"/>
      <c r="O181" s="576"/>
      <c r="P181" s="576"/>
      <c r="Q181" s="576"/>
      <c r="R181" s="517"/>
      <c r="S181" s="576"/>
      <c r="T181" s="576"/>
    </row>
    <row r="182" spans="2:20">
      <c r="B182" s="1890" t="s">
        <v>263</v>
      </c>
      <c r="C182" s="1888" t="s">
        <v>210</v>
      </c>
      <c r="D182" s="520" t="s">
        <v>211</v>
      </c>
      <c r="E182" s="521"/>
      <c r="F182" s="521"/>
      <c r="G182" s="521"/>
      <c r="H182" s="522"/>
      <c r="I182" s="521" t="s">
        <v>212</v>
      </c>
      <c r="J182" s="523"/>
      <c r="K182" s="523"/>
      <c r="L182" s="523"/>
      <c r="M182" s="522"/>
      <c r="N182" s="517"/>
      <c r="O182" s="524" t="s">
        <v>211</v>
      </c>
      <c r="P182" s="525"/>
      <c r="Q182" s="526"/>
      <c r="R182" s="517"/>
      <c r="S182" s="524" t="s">
        <v>212</v>
      </c>
      <c r="T182" s="526"/>
    </row>
    <row r="183" spans="2:20">
      <c r="B183" s="1891"/>
      <c r="C183" s="1889"/>
      <c r="D183" s="528" t="s">
        <v>99</v>
      </c>
      <c r="E183" s="529" t="s">
        <v>100</v>
      </c>
      <c r="F183" s="529" t="s">
        <v>101</v>
      </c>
      <c r="G183" s="529" t="s">
        <v>102</v>
      </c>
      <c r="H183" s="530" t="s">
        <v>64</v>
      </c>
      <c r="I183" s="531" t="s">
        <v>213</v>
      </c>
      <c r="J183" s="529" t="s">
        <v>214</v>
      </c>
      <c r="K183" s="529" t="s">
        <v>215</v>
      </c>
      <c r="L183" s="529" t="s">
        <v>216</v>
      </c>
      <c r="M183" s="530" t="s">
        <v>217</v>
      </c>
      <c r="N183" s="517"/>
      <c r="O183" s="532" t="s">
        <v>218</v>
      </c>
      <c r="P183" s="533" t="s">
        <v>219</v>
      </c>
      <c r="Q183" s="534" t="s">
        <v>220</v>
      </c>
      <c r="R183" s="517"/>
      <c r="S183" s="532" t="s">
        <v>219</v>
      </c>
      <c r="T183" s="534" t="s">
        <v>221</v>
      </c>
    </row>
    <row r="184" spans="2:20">
      <c r="B184" s="684" t="s">
        <v>264</v>
      </c>
      <c r="C184" s="685"/>
      <c r="D184" s="605"/>
      <c r="E184" s="606"/>
      <c r="F184" s="606"/>
      <c r="G184" s="606"/>
      <c r="H184" s="607"/>
      <c r="I184" s="609"/>
      <c r="J184" s="609"/>
      <c r="K184" s="609"/>
      <c r="L184" s="609"/>
      <c r="M184" s="610"/>
      <c r="N184" s="517"/>
      <c r="O184" s="608"/>
      <c r="P184" s="609"/>
      <c r="Q184" s="610"/>
      <c r="R184" s="517"/>
      <c r="S184" s="608"/>
      <c r="T184" s="610"/>
    </row>
    <row r="185" spans="2:20">
      <c r="B185" s="577" t="s">
        <v>265</v>
      </c>
      <c r="C185" s="578"/>
      <c r="D185" s="579"/>
      <c r="E185" s="580"/>
      <c r="F185" s="580"/>
      <c r="G185" s="580"/>
      <c r="H185" s="581"/>
      <c r="I185" s="580"/>
      <c r="J185" s="580"/>
      <c r="K185" s="580"/>
      <c r="L185" s="580"/>
      <c r="M185" s="581"/>
      <c r="N185" s="517"/>
      <c r="O185" s="582"/>
      <c r="P185" s="583"/>
      <c r="Q185" s="584"/>
      <c r="R185" s="517"/>
      <c r="S185" s="579"/>
      <c r="T185" s="581"/>
    </row>
    <row r="186" spans="2:20">
      <c r="B186" s="585" t="s">
        <v>306</v>
      </c>
      <c r="C186" s="586" t="s">
        <v>223</v>
      </c>
      <c r="D186" s="686"/>
      <c r="E186" s="687"/>
      <c r="F186" s="687"/>
      <c r="G186" s="687"/>
      <c r="H186" s="688"/>
      <c r="I186" s="564"/>
      <c r="J186" s="566"/>
      <c r="K186" s="566"/>
      <c r="L186" s="566"/>
      <c r="M186" s="565"/>
      <c r="N186" s="517"/>
      <c r="O186" s="560"/>
      <c r="P186" s="561"/>
      <c r="Q186" s="562"/>
      <c r="R186" s="517"/>
      <c r="S186" s="560"/>
      <c r="T186" s="563"/>
    </row>
    <row r="187" spans="2:20">
      <c r="B187" s="585" t="s">
        <v>333</v>
      </c>
      <c r="C187" s="586" t="s">
        <v>334</v>
      </c>
      <c r="D187" s="689"/>
      <c r="E187" s="690"/>
      <c r="F187" s="690"/>
      <c r="G187" s="690"/>
      <c r="H187" s="691"/>
      <c r="I187" s="692"/>
      <c r="J187" s="693"/>
      <c r="K187" s="693"/>
      <c r="L187" s="693"/>
      <c r="M187" s="694"/>
      <c r="N187" s="517"/>
      <c r="O187" s="560"/>
      <c r="P187" s="561"/>
      <c r="Q187" s="562"/>
      <c r="R187" s="517"/>
      <c r="S187" s="560"/>
      <c r="T187" s="563"/>
    </row>
    <row r="188" spans="2:20">
      <c r="B188" s="585" t="s">
        <v>335</v>
      </c>
      <c r="C188" s="586" t="s">
        <v>334</v>
      </c>
      <c r="D188" s="689"/>
      <c r="E188" s="690"/>
      <c r="F188" s="690"/>
      <c r="G188" s="690"/>
      <c r="H188" s="691"/>
      <c r="I188" s="695">
        <f>1-I187</f>
        <v>1</v>
      </c>
      <c r="J188" s="696">
        <f>1-J187</f>
        <v>1</v>
      </c>
      <c r="K188" s="696">
        <f>1-K187</f>
        <v>1</v>
      </c>
      <c r="L188" s="696">
        <f>1-L187</f>
        <v>1</v>
      </c>
      <c r="M188" s="697">
        <f>1-M187</f>
        <v>1</v>
      </c>
      <c r="N188" s="517"/>
      <c r="O188" s="560"/>
      <c r="P188" s="561"/>
      <c r="Q188" s="562"/>
      <c r="R188" s="517"/>
      <c r="S188" s="560"/>
      <c r="T188" s="563"/>
    </row>
    <row r="189" spans="2:20">
      <c r="B189" s="585" t="s">
        <v>307</v>
      </c>
      <c r="C189" s="586" t="s">
        <v>223</v>
      </c>
      <c r="D189" s="686"/>
      <c r="E189" s="687"/>
      <c r="F189" s="687"/>
      <c r="G189" s="687"/>
      <c r="H189" s="688"/>
      <c r="I189" s="564"/>
      <c r="J189" s="566"/>
      <c r="K189" s="566"/>
      <c r="L189" s="566"/>
      <c r="M189" s="565"/>
      <c r="N189" s="517"/>
      <c r="O189" s="560"/>
      <c r="P189" s="561"/>
      <c r="Q189" s="562"/>
      <c r="R189" s="517"/>
      <c r="S189" s="560"/>
      <c r="T189" s="563"/>
    </row>
    <row r="190" spans="2:20">
      <c r="B190" s="585" t="s">
        <v>336</v>
      </c>
      <c r="C190" s="586" t="s">
        <v>334</v>
      </c>
      <c r="D190" s="686"/>
      <c r="E190" s="687"/>
      <c r="F190" s="687"/>
      <c r="G190" s="687"/>
      <c r="H190" s="688"/>
      <c r="I190" s="564"/>
      <c r="J190" s="566"/>
      <c r="K190" s="566"/>
      <c r="L190" s="566"/>
      <c r="M190" s="565"/>
      <c r="N190" s="517"/>
      <c r="O190" s="560"/>
      <c r="P190" s="561"/>
      <c r="Q190" s="562"/>
      <c r="R190" s="517"/>
      <c r="S190" s="560"/>
      <c r="T190" s="563"/>
    </row>
    <row r="191" spans="2:20">
      <c r="B191" s="585" t="s">
        <v>337</v>
      </c>
      <c r="C191" s="586" t="s">
        <v>334</v>
      </c>
      <c r="D191" s="689"/>
      <c r="E191" s="690"/>
      <c r="F191" s="690"/>
      <c r="G191" s="690"/>
      <c r="H191" s="691"/>
      <c r="I191" s="695">
        <f>1-I190</f>
        <v>1</v>
      </c>
      <c r="J191" s="696">
        <f>1-J190</f>
        <v>1</v>
      </c>
      <c r="K191" s="696">
        <f>1-K190</f>
        <v>1</v>
      </c>
      <c r="L191" s="696">
        <f>1-L190</f>
        <v>1</v>
      </c>
      <c r="M191" s="697">
        <f>1-M190</f>
        <v>1</v>
      </c>
      <c r="N191" s="517"/>
      <c r="O191" s="560"/>
      <c r="P191" s="561"/>
      <c r="Q191" s="562"/>
      <c r="R191" s="517"/>
      <c r="S191" s="560"/>
      <c r="T191" s="563"/>
    </row>
    <row r="192" spans="2:20">
      <c r="B192" s="593" t="s">
        <v>268</v>
      </c>
      <c r="C192" s="586" t="s">
        <v>223</v>
      </c>
      <c r="D192" s="549"/>
      <c r="E192" s="564"/>
      <c r="F192" s="564"/>
      <c r="G192" s="564"/>
      <c r="H192" s="565"/>
      <c r="I192" s="594">
        <f>SUM(I186,I189)</f>
        <v>0</v>
      </c>
      <c r="J192" s="541">
        <f>SUM(J186,J189)</f>
        <v>0</v>
      </c>
      <c r="K192" s="541">
        <f>SUM(K186,K189)</f>
        <v>0</v>
      </c>
      <c r="L192" s="541">
        <f>SUM(L186,L189)</f>
        <v>0</v>
      </c>
      <c r="M192" s="542">
        <f>SUM(M186,M189)</f>
        <v>0</v>
      </c>
      <c r="N192" s="517"/>
      <c r="O192" s="540">
        <f>SUM(D192:G192)</f>
        <v>0</v>
      </c>
      <c r="P192" s="541">
        <f>SUM(H192)</f>
        <v>0</v>
      </c>
      <c r="Q192" s="542">
        <f>SUM(D192:H192)</f>
        <v>0</v>
      </c>
      <c r="R192" s="517"/>
      <c r="S192" s="540">
        <f>SUM(I192:M192)</f>
        <v>0</v>
      </c>
      <c r="T192" s="165" t="str">
        <f>IF(Q192&lt;&gt;0,(S192-Q192)/Q192,"0")</f>
        <v>0</v>
      </c>
    </row>
    <row r="193" spans="2:20">
      <c r="B193" s="577" t="s">
        <v>338</v>
      </c>
      <c r="C193" s="595"/>
      <c r="D193" s="596"/>
      <c r="E193" s="597"/>
      <c r="F193" s="597"/>
      <c r="G193" s="597"/>
      <c r="H193" s="598"/>
      <c r="I193" s="597"/>
      <c r="J193" s="597"/>
      <c r="K193" s="597"/>
      <c r="L193" s="597"/>
      <c r="M193" s="598"/>
      <c r="N193" s="517"/>
      <c r="O193" s="599"/>
      <c r="P193" s="597"/>
      <c r="Q193" s="598"/>
      <c r="R193" s="517"/>
      <c r="S193" s="596"/>
      <c r="T193" s="598"/>
    </row>
    <row r="194" spans="2:20">
      <c r="B194" s="585" t="s">
        <v>308</v>
      </c>
      <c r="C194" s="586" t="s">
        <v>223</v>
      </c>
      <c r="D194" s="686"/>
      <c r="E194" s="687"/>
      <c r="F194" s="687"/>
      <c r="G194" s="687"/>
      <c r="H194" s="688"/>
      <c r="I194" s="564"/>
      <c r="J194" s="566"/>
      <c r="K194" s="566"/>
      <c r="L194" s="566"/>
      <c r="M194" s="565"/>
      <c r="N194" s="517"/>
      <c r="O194" s="560"/>
      <c r="P194" s="561"/>
      <c r="Q194" s="562"/>
      <c r="R194" s="517"/>
      <c r="S194" s="560"/>
      <c r="T194" s="563"/>
    </row>
    <row r="195" spans="2:20">
      <c r="B195" s="585" t="s">
        <v>339</v>
      </c>
      <c r="C195" s="586" t="s">
        <v>334</v>
      </c>
      <c r="D195" s="689"/>
      <c r="E195" s="690"/>
      <c r="F195" s="690"/>
      <c r="G195" s="690"/>
      <c r="H195" s="691"/>
      <c r="I195" s="692"/>
      <c r="J195" s="693"/>
      <c r="K195" s="693"/>
      <c r="L195" s="693"/>
      <c r="M195" s="694"/>
      <c r="N195" s="517"/>
      <c r="O195" s="560"/>
      <c r="P195" s="561"/>
      <c r="Q195" s="562"/>
      <c r="R195" s="517"/>
      <c r="S195" s="560"/>
      <c r="T195" s="563"/>
    </row>
    <row r="196" spans="2:20">
      <c r="B196" s="585" t="s">
        <v>340</v>
      </c>
      <c r="C196" s="586" t="s">
        <v>334</v>
      </c>
      <c r="D196" s="689"/>
      <c r="E196" s="690"/>
      <c r="F196" s="690"/>
      <c r="G196" s="690"/>
      <c r="H196" s="691"/>
      <c r="I196" s="695">
        <f>1-I195</f>
        <v>1</v>
      </c>
      <c r="J196" s="696">
        <f>1-J195</f>
        <v>1</v>
      </c>
      <c r="K196" s="696">
        <f>1-K195</f>
        <v>1</v>
      </c>
      <c r="L196" s="696">
        <f>1-L195</f>
        <v>1</v>
      </c>
      <c r="M196" s="697">
        <f>1-M195</f>
        <v>1</v>
      </c>
      <c r="N196" s="517"/>
      <c r="O196" s="560"/>
      <c r="P196" s="561"/>
      <c r="Q196" s="562"/>
      <c r="R196" s="517"/>
      <c r="S196" s="560"/>
      <c r="T196" s="563"/>
    </row>
    <row r="197" spans="2:20">
      <c r="B197" s="585" t="s">
        <v>309</v>
      </c>
      <c r="C197" s="586" t="s">
        <v>223</v>
      </c>
      <c r="D197" s="686"/>
      <c r="E197" s="687"/>
      <c r="F197" s="687"/>
      <c r="G197" s="687"/>
      <c r="H197" s="688"/>
      <c r="I197" s="564"/>
      <c r="J197" s="566"/>
      <c r="K197" s="566"/>
      <c r="L197" s="566"/>
      <c r="M197" s="565"/>
      <c r="N197" s="517"/>
      <c r="O197" s="560"/>
      <c r="P197" s="561"/>
      <c r="Q197" s="562"/>
      <c r="R197" s="517"/>
      <c r="S197" s="560"/>
      <c r="T197" s="563"/>
    </row>
    <row r="198" spans="2:20">
      <c r="B198" s="585" t="s">
        <v>341</v>
      </c>
      <c r="C198" s="586" t="s">
        <v>334</v>
      </c>
      <c r="D198" s="686"/>
      <c r="E198" s="687"/>
      <c r="F198" s="687"/>
      <c r="G198" s="687"/>
      <c r="H198" s="688"/>
      <c r="I198" s="564"/>
      <c r="J198" s="566"/>
      <c r="K198" s="566"/>
      <c r="L198" s="566"/>
      <c r="M198" s="565"/>
      <c r="N198" s="517"/>
      <c r="O198" s="560"/>
      <c r="P198" s="561"/>
      <c r="Q198" s="562"/>
      <c r="R198" s="517"/>
      <c r="S198" s="560"/>
      <c r="T198" s="563"/>
    </row>
    <row r="199" spans="2:20">
      <c r="B199" s="585" t="s">
        <v>342</v>
      </c>
      <c r="C199" s="586" t="s">
        <v>334</v>
      </c>
      <c r="D199" s="689"/>
      <c r="E199" s="690"/>
      <c r="F199" s="690"/>
      <c r="G199" s="690"/>
      <c r="H199" s="691"/>
      <c r="I199" s="695">
        <f>1-I198</f>
        <v>1</v>
      </c>
      <c r="J199" s="696">
        <f>1-J198</f>
        <v>1</v>
      </c>
      <c r="K199" s="696">
        <f>1-K198</f>
        <v>1</v>
      </c>
      <c r="L199" s="696">
        <f>1-L198</f>
        <v>1</v>
      </c>
      <c r="M199" s="697">
        <f>1-M198</f>
        <v>1</v>
      </c>
      <c r="N199" s="517"/>
      <c r="O199" s="560"/>
      <c r="P199" s="561"/>
      <c r="Q199" s="562"/>
      <c r="R199" s="517"/>
      <c r="S199" s="560"/>
      <c r="T199" s="563"/>
    </row>
    <row r="200" spans="2:20">
      <c r="B200" s="593" t="s">
        <v>270</v>
      </c>
      <c r="C200" s="586" t="s">
        <v>223</v>
      </c>
      <c r="D200" s="549"/>
      <c r="E200" s="564"/>
      <c r="F200" s="564"/>
      <c r="G200" s="564"/>
      <c r="H200" s="565"/>
      <c r="I200" s="594">
        <f>SUM(I194,I197)</f>
        <v>0</v>
      </c>
      <c r="J200" s="541">
        <f>SUM(J194,J197)</f>
        <v>0</v>
      </c>
      <c r="K200" s="541">
        <f>SUM(K194,K197)</f>
        <v>0</v>
      </c>
      <c r="L200" s="541">
        <f>SUM(L194,L197)</f>
        <v>0</v>
      </c>
      <c r="M200" s="542">
        <f>SUM(M194,M197)</f>
        <v>0</v>
      </c>
      <c r="N200" s="517"/>
      <c r="O200" s="540">
        <f>SUM(D200:G200)</f>
        <v>0</v>
      </c>
      <c r="P200" s="541">
        <f>SUM(H200)</f>
        <v>0</v>
      </c>
      <c r="Q200" s="542">
        <f>SUM(D200:H200)</f>
        <v>0</v>
      </c>
      <c r="R200" s="517"/>
      <c r="S200" s="540">
        <f>SUM(I200:M200)</f>
        <v>0</v>
      </c>
      <c r="T200" s="165" t="str">
        <f>IF(Q200&lt;&gt;0,(S200-Q200)/Q200,"0")</f>
        <v>0</v>
      </c>
    </row>
    <row r="201" spans="2:20">
      <c r="B201" s="577" t="s">
        <v>343</v>
      </c>
      <c r="C201" s="595"/>
      <c r="D201" s="596"/>
      <c r="E201" s="597"/>
      <c r="F201" s="597"/>
      <c r="G201" s="597"/>
      <c r="H201" s="598"/>
      <c r="I201" s="597"/>
      <c r="J201" s="597"/>
      <c r="K201" s="597"/>
      <c r="L201" s="597"/>
      <c r="M201" s="598"/>
      <c r="N201" s="517"/>
      <c r="O201" s="596"/>
      <c r="P201" s="597"/>
      <c r="Q201" s="598"/>
      <c r="R201" s="517"/>
      <c r="S201" s="596"/>
      <c r="T201" s="598"/>
    </row>
    <row r="202" spans="2:20">
      <c r="B202" s="585" t="s">
        <v>310</v>
      </c>
      <c r="C202" s="586" t="s">
        <v>223</v>
      </c>
      <c r="D202" s="686"/>
      <c r="E202" s="687"/>
      <c r="F202" s="687"/>
      <c r="G202" s="687"/>
      <c r="H202" s="688"/>
      <c r="I202" s="564"/>
      <c r="J202" s="566"/>
      <c r="K202" s="566"/>
      <c r="L202" s="566"/>
      <c r="M202" s="565"/>
      <c r="N202" s="517"/>
      <c r="O202" s="560"/>
      <c r="P202" s="561"/>
      <c r="Q202" s="562"/>
      <c r="R202" s="517"/>
      <c r="S202" s="560"/>
      <c r="T202" s="563"/>
    </row>
    <row r="203" spans="2:20">
      <c r="B203" s="585" t="s">
        <v>344</v>
      </c>
      <c r="C203" s="586" t="s">
        <v>334</v>
      </c>
      <c r="D203" s="689"/>
      <c r="E203" s="690"/>
      <c r="F203" s="690"/>
      <c r="G203" s="690"/>
      <c r="H203" s="691"/>
      <c r="I203" s="692"/>
      <c r="J203" s="693"/>
      <c r="K203" s="693"/>
      <c r="L203" s="693"/>
      <c r="M203" s="694"/>
      <c r="N203" s="517"/>
      <c r="O203" s="560"/>
      <c r="P203" s="561"/>
      <c r="Q203" s="562"/>
      <c r="R203" s="517"/>
      <c r="S203" s="560"/>
      <c r="T203" s="563"/>
    </row>
    <row r="204" spans="2:20">
      <c r="B204" s="585" t="s">
        <v>345</v>
      </c>
      <c r="C204" s="586" t="s">
        <v>334</v>
      </c>
      <c r="D204" s="689"/>
      <c r="E204" s="690"/>
      <c r="F204" s="690"/>
      <c r="G204" s="690"/>
      <c r="H204" s="691"/>
      <c r="I204" s="695">
        <f>1-I203</f>
        <v>1</v>
      </c>
      <c r="J204" s="696">
        <f>1-J203</f>
        <v>1</v>
      </c>
      <c r="K204" s="696">
        <f>1-K203</f>
        <v>1</v>
      </c>
      <c r="L204" s="696">
        <f>1-L203</f>
        <v>1</v>
      </c>
      <c r="M204" s="697">
        <f>1-M203</f>
        <v>1</v>
      </c>
      <c r="N204" s="517"/>
      <c r="O204" s="560"/>
      <c r="P204" s="561"/>
      <c r="Q204" s="562"/>
      <c r="R204" s="517"/>
      <c r="S204" s="560"/>
      <c r="T204" s="563"/>
    </row>
    <row r="205" spans="2:20">
      <c r="B205" s="585" t="s">
        <v>311</v>
      </c>
      <c r="C205" s="586" t="s">
        <v>223</v>
      </c>
      <c r="D205" s="686"/>
      <c r="E205" s="687"/>
      <c r="F205" s="687"/>
      <c r="G205" s="687"/>
      <c r="H205" s="688"/>
      <c r="I205" s="564"/>
      <c r="J205" s="566"/>
      <c r="K205" s="566"/>
      <c r="L205" s="566"/>
      <c r="M205" s="565"/>
      <c r="N205" s="517"/>
      <c r="O205" s="560"/>
      <c r="P205" s="561"/>
      <c r="Q205" s="562"/>
      <c r="R205" s="517"/>
      <c r="S205" s="560"/>
      <c r="T205" s="563"/>
    </row>
    <row r="206" spans="2:20">
      <c r="B206" s="585" t="s">
        <v>346</v>
      </c>
      <c r="C206" s="586" t="s">
        <v>334</v>
      </c>
      <c r="D206" s="698"/>
      <c r="E206" s="699"/>
      <c r="F206" s="699"/>
      <c r="G206" s="699"/>
      <c r="H206" s="700"/>
      <c r="I206" s="701"/>
      <c r="J206" s="702"/>
      <c r="K206" s="702"/>
      <c r="L206" s="702"/>
      <c r="M206" s="703"/>
      <c r="N206" s="517"/>
      <c r="O206" s="560"/>
      <c r="P206" s="561"/>
      <c r="Q206" s="562"/>
      <c r="R206" s="517"/>
      <c r="S206" s="560"/>
      <c r="T206" s="563"/>
    </row>
    <row r="207" spans="2:20">
      <c r="B207" s="585" t="s">
        <v>347</v>
      </c>
      <c r="C207" s="586" t="s">
        <v>334</v>
      </c>
      <c r="D207" s="689"/>
      <c r="E207" s="690"/>
      <c r="F207" s="690"/>
      <c r="G207" s="690"/>
      <c r="H207" s="691"/>
      <c r="I207" s="695">
        <f>1-I206</f>
        <v>1</v>
      </c>
      <c r="J207" s="696">
        <f>1-J206</f>
        <v>1</v>
      </c>
      <c r="K207" s="696">
        <f>1-K206</f>
        <v>1</v>
      </c>
      <c r="L207" s="696">
        <f>1-L206</f>
        <v>1</v>
      </c>
      <c r="M207" s="697">
        <f>1-M206</f>
        <v>1</v>
      </c>
      <c r="N207" s="517"/>
      <c r="O207" s="560"/>
      <c r="P207" s="561"/>
      <c r="Q207" s="562"/>
      <c r="R207" s="517"/>
      <c r="S207" s="560"/>
      <c r="T207" s="563"/>
    </row>
    <row r="208" spans="2:20">
      <c r="B208" s="593" t="s">
        <v>272</v>
      </c>
      <c r="C208" s="586" t="s">
        <v>223</v>
      </c>
      <c r="D208" s="549"/>
      <c r="E208" s="564"/>
      <c r="F208" s="564"/>
      <c r="G208" s="564"/>
      <c r="H208" s="565"/>
      <c r="I208" s="594">
        <f>SUM(I202,I205)</f>
        <v>0</v>
      </c>
      <c r="J208" s="541">
        <f>SUM(J202,J205)</f>
        <v>0</v>
      </c>
      <c r="K208" s="541">
        <f>SUM(K202,K205)</f>
        <v>0</v>
      </c>
      <c r="L208" s="541">
        <f>SUM(L202,L205)</f>
        <v>0</v>
      </c>
      <c r="M208" s="542">
        <f>SUM(M202,M205)</f>
        <v>0</v>
      </c>
      <c r="N208" s="517"/>
      <c r="O208" s="540">
        <f>SUM(D208:G208)</f>
        <v>0</v>
      </c>
      <c r="P208" s="541">
        <f>SUM(H208)</f>
        <v>0</v>
      </c>
      <c r="Q208" s="542">
        <f>SUM(D208:H208)</f>
        <v>0</v>
      </c>
      <c r="R208" s="517"/>
      <c r="S208" s="540">
        <f>SUM(I208:M208)</f>
        <v>0</v>
      </c>
      <c r="T208" s="165" t="str">
        <f>IF(Q208&lt;&gt;0,(S208-Q208)/Q208,"0")</f>
        <v>0</v>
      </c>
    </row>
    <row r="209" spans="2:20">
      <c r="B209" s="577" t="s">
        <v>348</v>
      </c>
      <c r="C209" s="595"/>
      <c r="D209" s="596"/>
      <c r="E209" s="597"/>
      <c r="F209" s="597"/>
      <c r="G209" s="597"/>
      <c r="H209" s="598"/>
      <c r="I209" s="597"/>
      <c r="J209" s="597"/>
      <c r="K209" s="597"/>
      <c r="L209" s="597"/>
      <c r="M209" s="598"/>
      <c r="N209" s="517"/>
      <c r="O209" s="596"/>
      <c r="P209" s="597"/>
      <c r="Q209" s="598"/>
      <c r="R209" s="517"/>
      <c r="S209" s="596"/>
      <c r="T209" s="598"/>
    </row>
    <row r="210" spans="2:20">
      <c r="B210" s="585" t="s">
        <v>312</v>
      </c>
      <c r="C210" s="586" t="s">
        <v>223</v>
      </c>
      <c r="D210" s="686"/>
      <c r="E210" s="687"/>
      <c r="F210" s="687"/>
      <c r="G210" s="687"/>
      <c r="H210" s="688"/>
      <c r="I210" s="564"/>
      <c r="J210" s="566"/>
      <c r="K210" s="566"/>
      <c r="L210" s="566"/>
      <c r="M210" s="565"/>
      <c r="N210" s="517"/>
      <c r="O210" s="560"/>
      <c r="P210" s="561"/>
      <c r="Q210" s="562"/>
      <c r="R210" s="517"/>
      <c r="S210" s="560"/>
      <c r="T210" s="563"/>
    </row>
    <row r="211" spans="2:20">
      <c r="B211" s="585" t="s">
        <v>349</v>
      </c>
      <c r="C211" s="586" t="s">
        <v>334</v>
      </c>
      <c r="D211" s="689"/>
      <c r="E211" s="690"/>
      <c r="F211" s="690"/>
      <c r="G211" s="690"/>
      <c r="H211" s="691"/>
      <c r="I211" s="692"/>
      <c r="J211" s="693"/>
      <c r="K211" s="693"/>
      <c r="L211" s="693"/>
      <c r="M211" s="694"/>
      <c r="N211" s="517"/>
      <c r="O211" s="560"/>
      <c r="P211" s="561"/>
      <c r="Q211" s="562"/>
      <c r="R211" s="517"/>
      <c r="S211" s="560"/>
      <c r="T211" s="563"/>
    </row>
    <row r="212" spans="2:20">
      <c r="B212" s="585" t="s">
        <v>350</v>
      </c>
      <c r="C212" s="586" t="s">
        <v>334</v>
      </c>
      <c r="D212" s="689"/>
      <c r="E212" s="690"/>
      <c r="F212" s="690"/>
      <c r="G212" s="690"/>
      <c r="H212" s="691"/>
      <c r="I212" s="695">
        <f>1-I211</f>
        <v>1</v>
      </c>
      <c r="J212" s="696">
        <f>1-J211</f>
        <v>1</v>
      </c>
      <c r="K212" s="696">
        <f>1-K211</f>
        <v>1</v>
      </c>
      <c r="L212" s="696">
        <f>1-L211</f>
        <v>1</v>
      </c>
      <c r="M212" s="697">
        <f>1-M211</f>
        <v>1</v>
      </c>
      <c r="N212" s="517"/>
      <c r="O212" s="560"/>
      <c r="P212" s="561"/>
      <c r="Q212" s="562"/>
      <c r="R212" s="517"/>
      <c r="S212" s="560"/>
      <c r="T212" s="563"/>
    </row>
    <row r="213" spans="2:20">
      <c r="B213" s="585" t="s">
        <v>313</v>
      </c>
      <c r="C213" s="586" t="s">
        <v>223</v>
      </c>
      <c r="D213" s="686"/>
      <c r="E213" s="687"/>
      <c r="F213" s="687"/>
      <c r="G213" s="687"/>
      <c r="H213" s="688"/>
      <c r="I213" s="564"/>
      <c r="J213" s="566"/>
      <c r="K213" s="566"/>
      <c r="L213" s="566"/>
      <c r="M213" s="565"/>
      <c r="N213" s="517"/>
      <c r="O213" s="560"/>
      <c r="P213" s="561"/>
      <c r="Q213" s="562"/>
      <c r="R213" s="517"/>
      <c r="S213" s="560"/>
      <c r="T213" s="563"/>
    </row>
    <row r="214" spans="2:20">
      <c r="B214" s="585" t="s">
        <v>351</v>
      </c>
      <c r="C214" s="586" t="s">
        <v>334</v>
      </c>
      <c r="D214" s="698"/>
      <c r="E214" s="699"/>
      <c r="F214" s="699"/>
      <c r="G214" s="699"/>
      <c r="H214" s="700"/>
      <c r="I214" s="701"/>
      <c r="J214" s="702"/>
      <c r="K214" s="702"/>
      <c r="L214" s="702"/>
      <c r="M214" s="703"/>
      <c r="N214" s="517"/>
      <c r="O214" s="560"/>
      <c r="P214" s="561"/>
      <c r="Q214" s="562"/>
      <c r="R214" s="517"/>
      <c r="S214" s="560"/>
      <c r="T214" s="563"/>
    </row>
    <row r="215" spans="2:20">
      <c r="B215" s="585" t="s">
        <v>352</v>
      </c>
      <c r="C215" s="586" t="s">
        <v>334</v>
      </c>
      <c r="D215" s="689"/>
      <c r="E215" s="690"/>
      <c r="F215" s="690"/>
      <c r="G215" s="690"/>
      <c r="H215" s="691"/>
      <c r="I215" s="695">
        <f>1-I214</f>
        <v>1</v>
      </c>
      <c r="J215" s="696">
        <f>1-J214</f>
        <v>1</v>
      </c>
      <c r="K215" s="696">
        <f>1-K214</f>
        <v>1</v>
      </c>
      <c r="L215" s="696">
        <f>1-L214</f>
        <v>1</v>
      </c>
      <c r="M215" s="697">
        <f>1-M214</f>
        <v>1</v>
      </c>
      <c r="N215" s="517"/>
      <c r="O215" s="560"/>
      <c r="P215" s="561"/>
      <c r="Q215" s="562"/>
      <c r="R215" s="517"/>
      <c r="S215" s="560"/>
      <c r="T215" s="563"/>
    </row>
    <row r="216" spans="2:20">
      <c r="B216" s="704" t="s">
        <v>274</v>
      </c>
      <c r="C216" s="586" t="s">
        <v>223</v>
      </c>
      <c r="D216" s="705"/>
      <c r="E216" s="706"/>
      <c r="F216" s="706"/>
      <c r="G216" s="706"/>
      <c r="H216" s="707"/>
      <c r="I216" s="708">
        <f>SUM(I210,I213)</f>
        <v>0</v>
      </c>
      <c r="J216" s="709">
        <f>SUM(J210,J213)</f>
        <v>0</v>
      </c>
      <c r="K216" s="709">
        <f>SUM(K210,K213)</f>
        <v>0</v>
      </c>
      <c r="L216" s="709">
        <f>SUM(L210,L213)</f>
        <v>0</v>
      </c>
      <c r="M216" s="710">
        <f>SUM(M210,M213)</f>
        <v>0</v>
      </c>
      <c r="N216" s="517"/>
      <c r="O216" s="540">
        <f>SUM(D216:G216)</f>
        <v>0</v>
      </c>
      <c r="P216" s="541">
        <f>SUM(H216)</f>
        <v>0</v>
      </c>
      <c r="Q216" s="542">
        <f>SUM(D216:H216)</f>
        <v>0</v>
      </c>
      <c r="R216" s="517"/>
      <c r="S216" s="540">
        <f>SUM(I216:M216)</f>
        <v>0</v>
      </c>
      <c r="T216" s="165" t="str">
        <f>IF(Q216&lt;&gt;0,(S216-Q216)/Q216,"0")</f>
        <v>0</v>
      </c>
    </row>
    <row r="217" spans="2:20" ht="13.5" thickBot="1">
      <c r="B217" s="711" t="s">
        <v>355</v>
      </c>
      <c r="C217" s="712"/>
      <c r="D217" s="713">
        <f t="shared" ref="D217:M217" si="24">SUM(D192,D200,D208,D216)</f>
        <v>0</v>
      </c>
      <c r="E217" s="713">
        <f t="shared" si="24"/>
        <v>0</v>
      </c>
      <c r="F217" s="713">
        <f t="shared" si="24"/>
        <v>0</v>
      </c>
      <c r="G217" s="713">
        <f t="shared" si="24"/>
        <v>0</v>
      </c>
      <c r="H217" s="713">
        <f t="shared" si="24"/>
        <v>0</v>
      </c>
      <c r="I217" s="716">
        <f t="shared" si="24"/>
        <v>0</v>
      </c>
      <c r="J217" s="716">
        <f t="shared" si="24"/>
        <v>0</v>
      </c>
      <c r="K217" s="716">
        <f t="shared" si="24"/>
        <v>0</v>
      </c>
      <c r="L217" s="716">
        <f t="shared" si="24"/>
        <v>0</v>
      </c>
      <c r="M217" s="717">
        <f t="shared" si="24"/>
        <v>0</v>
      </c>
      <c r="N217" s="517"/>
      <c r="O217" s="571">
        <f>SUM(O192,O200,O208,O216)</f>
        <v>0</v>
      </c>
      <c r="P217" s="572">
        <f>SUM(P192,P200,P208,P216)</f>
        <v>0</v>
      </c>
      <c r="Q217" s="573">
        <f>SUM(Q192,Q200,Q208,Q216)</f>
        <v>0</v>
      </c>
      <c r="R217" s="517"/>
      <c r="S217" s="718">
        <f>SUM(S192,S200,S208,S216)</f>
        <v>0</v>
      </c>
      <c r="T217" s="189" t="str">
        <f>IF(Q217&lt;&gt;0,(S217-Q217)/Q217,"0")</f>
        <v>0</v>
      </c>
    </row>
    <row r="218" spans="2:20">
      <c r="C218" s="514"/>
      <c r="D218" s="514"/>
      <c r="E218" s="514"/>
      <c r="F218" s="514"/>
      <c r="G218" s="514"/>
      <c r="H218" s="514"/>
      <c r="I218" s="514"/>
      <c r="J218" s="514"/>
      <c r="K218" s="514"/>
      <c r="L218" s="514"/>
      <c r="M218" s="514"/>
      <c r="N218" s="514"/>
      <c r="O218" s="514"/>
      <c r="P218" s="514"/>
      <c r="Q218" s="514"/>
      <c r="R218" s="514"/>
      <c r="S218" s="514"/>
      <c r="T218" s="514"/>
    </row>
    <row r="219" spans="2:20">
      <c r="B219" s="574" t="s">
        <v>356</v>
      </c>
      <c r="C219" s="575"/>
      <c r="D219" s="576"/>
      <c r="E219" s="576"/>
      <c r="F219" s="576"/>
      <c r="G219" s="576"/>
      <c r="H219" s="576"/>
      <c r="I219" s="576"/>
      <c r="J219" s="576"/>
      <c r="K219" s="576"/>
      <c r="L219" s="576"/>
      <c r="M219" s="576"/>
      <c r="N219" s="517"/>
      <c r="O219" s="576"/>
      <c r="P219" s="576"/>
      <c r="Q219" s="576"/>
      <c r="R219" s="517"/>
      <c r="S219" s="576"/>
      <c r="T219" s="576"/>
    </row>
    <row r="220" spans="2:20" ht="13.5" thickBot="1">
      <c r="B220" s="574"/>
      <c r="C220" s="575"/>
      <c r="D220" s="576"/>
      <c r="E220" s="576"/>
      <c r="F220" s="576"/>
      <c r="G220" s="576"/>
      <c r="H220" s="576"/>
      <c r="I220" s="576"/>
      <c r="J220" s="576"/>
      <c r="K220" s="576"/>
      <c r="L220" s="576"/>
      <c r="M220" s="576"/>
      <c r="N220" s="517"/>
      <c r="O220" s="576"/>
      <c r="P220" s="576"/>
      <c r="Q220" s="576"/>
      <c r="R220" s="517"/>
      <c r="S220" s="576"/>
      <c r="T220" s="576"/>
    </row>
    <row r="221" spans="2:20">
      <c r="B221" s="1890" t="s">
        <v>263</v>
      </c>
      <c r="C221" s="1888" t="s">
        <v>210</v>
      </c>
      <c r="D221" s="520" t="s">
        <v>211</v>
      </c>
      <c r="E221" s="521"/>
      <c r="F221" s="521"/>
      <c r="G221" s="521"/>
      <c r="H221" s="522"/>
      <c r="I221" s="521" t="s">
        <v>212</v>
      </c>
      <c r="J221" s="523"/>
      <c r="K221" s="523"/>
      <c r="L221" s="523"/>
      <c r="M221" s="522"/>
      <c r="N221" s="517"/>
      <c r="O221" s="524" t="s">
        <v>211</v>
      </c>
      <c r="P221" s="525"/>
      <c r="Q221" s="526"/>
      <c r="R221" s="517"/>
      <c r="S221" s="524" t="s">
        <v>212</v>
      </c>
      <c r="T221" s="526"/>
    </row>
    <row r="222" spans="2:20">
      <c r="B222" s="1891"/>
      <c r="C222" s="1889"/>
      <c r="D222" s="528" t="s">
        <v>99</v>
      </c>
      <c r="E222" s="529" t="s">
        <v>100</v>
      </c>
      <c r="F222" s="529" t="s">
        <v>101</v>
      </c>
      <c r="G222" s="529" t="s">
        <v>102</v>
      </c>
      <c r="H222" s="530" t="s">
        <v>64</v>
      </c>
      <c r="I222" s="531" t="s">
        <v>213</v>
      </c>
      <c r="J222" s="529" t="s">
        <v>214</v>
      </c>
      <c r="K222" s="529" t="s">
        <v>215</v>
      </c>
      <c r="L222" s="529" t="s">
        <v>216</v>
      </c>
      <c r="M222" s="530" t="s">
        <v>217</v>
      </c>
      <c r="N222" s="517"/>
      <c r="O222" s="532" t="s">
        <v>218</v>
      </c>
      <c r="P222" s="533" t="s">
        <v>219</v>
      </c>
      <c r="Q222" s="534" t="s">
        <v>220</v>
      </c>
      <c r="R222" s="517"/>
      <c r="S222" s="532" t="s">
        <v>219</v>
      </c>
      <c r="T222" s="534" t="s">
        <v>221</v>
      </c>
    </row>
    <row r="223" spans="2:20">
      <c r="B223" s="684" t="s">
        <v>264</v>
      </c>
      <c r="C223" s="685"/>
      <c r="D223" s="605"/>
      <c r="E223" s="606"/>
      <c r="F223" s="606"/>
      <c r="G223" s="606"/>
      <c r="H223" s="607"/>
      <c r="I223" s="609"/>
      <c r="J223" s="609"/>
      <c r="K223" s="609"/>
      <c r="L223" s="609"/>
      <c r="M223" s="610"/>
      <c r="N223" s="517"/>
      <c r="O223" s="608"/>
      <c r="P223" s="609"/>
      <c r="Q223" s="610"/>
      <c r="R223" s="517"/>
      <c r="S223" s="608"/>
      <c r="T223" s="610"/>
    </row>
    <row r="224" spans="2:20">
      <c r="B224" s="577" t="s">
        <v>265</v>
      </c>
      <c r="C224" s="578"/>
      <c r="D224" s="579"/>
      <c r="E224" s="580"/>
      <c r="F224" s="580"/>
      <c r="G224" s="580"/>
      <c r="H224" s="581"/>
      <c r="I224" s="580"/>
      <c r="J224" s="580"/>
      <c r="K224" s="580"/>
      <c r="L224" s="580"/>
      <c r="M224" s="581"/>
      <c r="N224" s="517"/>
      <c r="O224" s="582"/>
      <c r="P224" s="583"/>
      <c r="Q224" s="584"/>
      <c r="R224" s="517"/>
      <c r="S224" s="579"/>
      <c r="T224" s="581"/>
    </row>
    <row r="225" spans="2:20">
      <c r="B225" s="585" t="s">
        <v>306</v>
      </c>
      <c r="C225" s="586" t="s">
        <v>223</v>
      </c>
      <c r="D225" s="686"/>
      <c r="E225" s="687"/>
      <c r="F225" s="687"/>
      <c r="G225" s="687"/>
      <c r="H225" s="688"/>
      <c r="I225" s="564"/>
      <c r="J225" s="566"/>
      <c r="K225" s="566"/>
      <c r="L225" s="566"/>
      <c r="M225" s="565"/>
      <c r="N225" s="517"/>
      <c r="O225" s="560"/>
      <c r="P225" s="561"/>
      <c r="Q225" s="562"/>
      <c r="R225" s="517"/>
      <c r="S225" s="560"/>
      <c r="T225" s="563"/>
    </row>
    <row r="226" spans="2:20">
      <c r="B226" s="585" t="s">
        <v>307</v>
      </c>
      <c r="C226" s="586" t="s">
        <v>223</v>
      </c>
      <c r="D226" s="686"/>
      <c r="E226" s="687"/>
      <c r="F226" s="687"/>
      <c r="G226" s="687"/>
      <c r="H226" s="688"/>
      <c r="I226" s="564"/>
      <c r="J226" s="566"/>
      <c r="K226" s="566"/>
      <c r="L226" s="566"/>
      <c r="M226" s="565"/>
      <c r="N226" s="517"/>
      <c r="O226" s="560"/>
      <c r="P226" s="561"/>
      <c r="Q226" s="562"/>
      <c r="R226" s="517"/>
      <c r="S226" s="560"/>
      <c r="T226" s="563"/>
    </row>
    <row r="227" spans="2:20">
      <c r="B227" s="593" t="s">
        <v>268</v>
      </c>
      <c r="C227" s="586" t="s">
        <v>223</v>
      </c>
      <c r="D227" s="549"/>
      <c r="E227" s="564"/>
      <c r="F227" s="564"/>
      <c r="G227" s="564"/>
      <c r="H227" s="565"/>
      <c r="I227" s="594">
        <f>SUM(I225,I226)</f>
        <v>0</v>
      </c>
      <c r="J227" s="541">
        <f>SUM(J225,J226)</f>
        <v>0</v>
      </c>
      <c r="K227" s="541">
        <f>SUM(K225,K226)</f>
        <v>0</v>
      </c>
      <c r="L227" s="541">
        <f>SUM(L225,L226)</f>
        <v>0</v>
      </c>
      <c r="M227" s="542">
        <f>SUM(M225,M226)</f>
        <v>0</v>
      </c>
      <c r="N227" s="517"/>
      <c r="O227" s="540">
        <f>SUM(D227:G227)</f>
        <v>0</v>
      </c>
      <c r="P227" s="541">
        <f>SUM(H227)</f>
        <v>0</v>
      </c>
      <c r="Q227" s="542">
        <f>SUM(D227:H227)</f>
        <v>0</v>
      </c>
      <c r="R227" s="517"/>
      <c r="S227" s="540">
        <f>SUM(I227:M227)</f>
        <v>0</v>
      </c>
      <c r="T227" s="165" t="str">
        <f>IF(Q227&lt;&gt;0,(S227-Q227)/Q227,"0")</f>
        <v>0</v>
      </c>
    </row>
    <row r="228" spans="2:20">
      <c r="B228" s="577" t="s">
        <v>338</v>
      </c>
      <c r="C228" s="595"/>
      <c r="D228" s="596"/>
      <c r="E228" s="597"/>
      <c r="F228" s="597"/>
      <c r="G228" s="597"/>
      <c r="H228" s="598"/>
      <c r="I228" s="597"/>
      <c r="J228" s="597"/>
      <c r="K228" s="597"/>
      <c r="L228" s="597"/>
      <c r="M228" s="598"/>
      <c r="N228" s="517"/>
      <c r="O228" s="599"/>
      <c r="P228" s="597"/>
      <c r="Q228" s="598"/>
      <c r="R228" s="517"/>
      <c r="S228" s="596"/>
      <c r="T228" s="598"/>
    </row>
    <row r="229" spans="2:20">
      <c r="B229" s="585" t="s">
        <v>308</v>
      </c>
      <c r="C229" s="586" t="s">
        <v>223</v>
      </c>
      <c r="D229" s="686"/>
      <c r="E229" s="687"/>
      <c r="F229" s="687"/>
      <c r="G229" s="687"/>
      <c r="H229" s="688"/>
      <c r="I229" s="564"/>
      <c r="J229" s="566"/>
      <c r="K229" s="566"/>
      <c r="L229" s="566"/>
      <c r="M229" s="565"/>
      <c r="N229" s="517"/>
      <c r="O229" s="560"/>
      <c r="P229" s="561"/>
      <c r="Q229" s="562"/>
      <c r="R229" s="517"/>
      <c r="S229" s="560"/>
      <c r="T229" s="563"/>
    </row>
    <row r="230" spans="2:20">
      <c r="B230" s="585" t="s">
        <v>309</v>
      </c>
      <c r="C230" s="586" t="s">
        <v>223</v>
      </c>
      <c r="D230" s="686"/>
      <c r="E230" s="687"/>
      <c r="F230" s="687"/>
      <c r="G230" s="687"/>
      <c r="H230" s="688"/>
      <c r="I230" s="564"/>
      <c r="J230" s="566"/>
      <c r="K230" s="566"/>
      <c r="L230" s="566"/>
      <c r="M230" s="565"/>
      <c r="N230" s="517"/>
      <c r="O230" s="560"/>
      <c r="P230" s="561"/>
      <c r="Q230" s="562"/>
      <c r="R230" s="517"/>
      <c r="S230" s="560"/>
      <c r="T230" s="563"/>
    </row>
    <row r="231" spans="2:20">
      <c r="B231" s="593" t="s">
        <v>270</v>
      </c>
      <c r="C231" s="586" t="s">
        <v>223</v>
      </c>
      <c r="D231" s="549"/>
      <c r="E231" s="564"/>
      <c r="F231" s="564"/>
      <c r="G231" s="564"/>
      <c r="H231" s="565"/>
      <c r="I231" s="594">
        <f>SUM(I229,I230)</f>
        <v>0</v>
      </c>
      <c r="J231" s="541">
        <f>SUM(J229,J230)</f>
        <v>0</v>
      </c>
      <c r="K231" s="541">
        <f>SUM(K229,K230)</f>
        <v>0</v>
      </c>
      <c r="L231" s="541">
        <f>SUM(L229,L230)</f>
        <v>0</v>
      </c>
      <c r="M231" s="542">
        <f>SUM(M229,M230)</f>
        <v>0</v>
      </c>
      <c r="N231" s="517"/>
      <c r="O231" s="540">
        <f>SUM(D231:G231)</f>
        <v>0</v>
      </c>
      <c r="P231" s="541">
        <f>SUM(H231)</f>
        <v>0</v>
      </c>
      <c r="Q231" s="542">
        <f>SUM(D231:H231)</f>
        <v>0</v>
      </c>
      <c r="R231" s="517"/>
      <c r="S231" s="540">
        <f>SUM(I231:M231)</f>
        <v>0</v>
      </c>
      <c r="T231" s="165" t="str">
        <f>IF(Q231&lt;&gt;0,(S231-Q231)/Q231,"0")</f>
        <v>0</v>
      </c>
    </row>
    <row r="232" spans="2:20">
      <c r="B232" s="577" t="s">
        <v>343</v>
      </c>
      <c r="C232" s="595"/>
      <c r="D232" s="596"/>
      <c r="E232" s="597"/>
      <c r="F232" s="597"/>
      <c r="G232" s="597"/>
      <c r="H232" s="598"/>
      <c r="I232" s="597"/>
      <c r="J232" s="597"/>
      <c r="K232" s="597"/>
      <c r="L232" s="597"/>
      <c r="M232" s="598"/>
      <c r="N232" s="517"/>
      <c r="O232" s="596"/>
      <c r="P232" s="597"/>
      <c r="Q232" s="598"/>
      <c r="R232" s="517"/>
      <c r="S232" s="596"/>
      <c r="T232" s="598"/>
    </row>
    <row r="233" spans="2:20">
      <c r="B233" s="585" t="s">
        <v>310</v>
      </c>
      <c r="C233" s="586" t="s">
        <v>223</v>
      </c>
      <c r="D233" s="686"/>
      <c r="E233" s="687"/>
      <c r="F233" s="687"/>
      <c r="G233" s="687"/>
      <c r="H233" s="688"/>
      <c r="I233" s="564"/>
      <c r="J233" s="566"/>
      <c r="K233" s="566"/>
      <c r="L233" s="566"/>
      <c r="M233" s="565"/>
      <c r="N233" s="517"/>
      <c r="O233" s="560"/>
      <c r="P233" s="561"/>
      <c r="Q233" s="562"/>
      <c r="R233" s="517"/>
      <c r="S233" s="560"/>
      <c r="T233" s="563"/>
    </row>
    <row r="234" spans="2:20">
      <c r="B234" s="585" t="s">
        <v>311</v>
      </c>
      <c r="C234" s="586" t="s">
        <v>223</v>
      </c>
      <c r="D234" s="686"/>
      <c r="E234" s="687"/>
      <c r="F234" s="687"/>
      <c r="G234" s="687"/>
      <c r="H234" s="688"/>
      <c r="I234" s="564"/>
      <c r="J234" s="566"/>
      <c r="K234" s="566"/>
      <c r="L234" s="566"/>
      <c r="M234" s="565"/>
      <c r="N234" s="517"/>
      <c r="O234" s="560"/>
      <c r="P234" s="561"/>
      <c r="Q234" s="562"/>
      <c r="R234" s="517"/>
      <c r="S234" s="560"/>
      <c r="T234" s="563"/>
    </row>
    <row r="235" spans="2:20">
      <c r="B235" s="593" t="s">
        <v>272</v>
      </c>
      <c r="C235" s="586" t="s">
        <v>223</v>
      </c>
      <c r="D235" s="549"/>
      <c r="E235" s="564"/>
      <c r="F235" s="564"/>
      <c r="G235" s="564"/>
      <c r="H235" s="565"/>
      <c r="I235" s="594">
        <f>SUM(I233,I234)</f>
        <v>0</v>
      </c>
      <c r="J235" s="541">
        <f>SUM(J233,J234)</f>
        <v>0</v>
      </c>
      <c r="K235" s="541">
        <f>SUM(K233,K234)</f>
        <v>0</v>
      </c>
      <c r="L235" s="541">
        <f>SUM(L233,L234)</f>
        <v>0</v>
      </c>
      <c r="M235" s="542">
        <f>SUM(M233,M234)</f>
        <v>0</v>
      </c>
      <c r="N235" s="517"/>
      <c r="O235" s="540">
        <f>SUM(D235:G235)</f>
        <v>0</v>
      </c>
      <c r="P235" s="541">
        <f>SUM(H235)</f>
        <v>0</v>
      </c>
      <c r="Q235" s="542">
        <f>SUM(D235:H235)</f>
        <v>0</v>
      </c>
      <c r="R235" s="517"/>
      <c r="S235" s="540">
        <f>SUM(I235:M235)</f>
        <v>0</v>
      </c>
      <c r="T235" s="165" t="str">
        <f>IF(Q235&lt;&gt;0,(S235-Q235)/Q235,"0")</f>
        <v>0</v>
      </c>
    </row>
    <row r="236" spans="2:20">
      <c r="B236" s="577" t="s">
        <v>348</v>
      </c>
      <c r="C236" s="595"/>
      <c r="D236" s="596"/>
      <c r="E236" s="597"/>
      <c r="F236" s="597"/>
      <c r="G236" s="597"/>
      <c r="H236" s="598"/>
      <c r="I236" s="597"/>
      <c r="J236" s="597"/>
      <c r="K236" s="597"/>
      <c r="L236" s="597"/>
      <c r="M236" s="598"/>
      <c r="N236" s="517"/>
      <c r="O236" s="596"/>
      <c r="P236" s="597"/>
      <c r="Q236" s="598"/>
      <c r="R236" s="517"/>
      <c r="S236" s="596"/>
      <c r="T236" s="598"/>
    </row>
    <row r="237" spans="2:20">
      <c r="B237" s="585" t="s">
        <v>312</v>
      </c>
      <c r="C237" s="586" t="s">
        <v>223</v>
      </c>
      <c r="D237" s="686"/>
      <c r="E237" s="687"/>
      <c r="F237" s="687"/>
      <c r="G237" s="687"/>
      <c r="H237" s="688"/>
      <c r="I237" s="564"/>
      <c r="J237" s="566"/>
      <c r="K237" s="566"/>
      <c r="L237" s="566"/>
      <c r="M237" s="565"/>
      <c r="N237" s="517"/>
      <c r="O237" s="560"/>
      <c r="P237" s="561"/>
      <c r="Q237" s="562"/>
      <c r="R237" s="517"/>
      <c r="S237" s="560"/>
      <c r="T237" s="563"/>
    </row>
    <row r="238" spans="2:20">
      <c r="B238" s="585" t="s">
        <v>313</v>
      </c>
      <c r="C238" s="586" t="s">
        <v>223</v>
      </c>
      <c r="D238" s="686"/>
      <c r="E238" s="687"/>
      <c r="F238" s="687"/>
      <c r="G238" s="687"/>
      <c r="H238" s="688"/>
      <c r="I238" s="564"/>
      <c r="J238" s="566"/>
      <c r="K238" s="566"/>
      <c r="L238" s="566"/>
      <c r="M238" s="565"/>
      <c r="N238" s="517"/>
      <c r="O238" s="560"/>
      <c r="P238" s="561"/>
      <c r="Q238" s="562"/>
      <c r="R238" s="517"/>
      <c r="S238" s="560"/>
      <c r="T238" s="563"/>
    </row>
    <row r="239" spans="2:20">
      <c r="B239" s="704" t="s">
        <v>274</v>
      </c>
      <c r="C239" s="586" t="s">
        <v>223</v>
      </c>
      <c r="D239" s="705"/>
      <c r="E239" s="706"/>
      <c r="F239" s="706"/>
      <c r="G239" s="706"/>
      <c r="H239" s="707"/>
      <c r="I239" s="708">
        <f>SUM(I237,I238)</f>
        <v>0</v>
      </c>
      <c r="J239" s="709">
        <f>SUM(J237,J238)</f>
        <v>0</v>
      </c>
      <c r="K239" s="709">
        <f>SUM(K237,K238)</f>
        <v>0</v>
      </c>
      <c r="L239" s="709">
        <f>SUM(L237,L238)</f>
        <v>0</v>
      </c>
      <c r="M239" s="710">
        <f>SUM(M237,M238)</f>
        <v>0</v>
      </c>
      <c r="N239" s="517"/>
      <c r="O239" s="540">
        <f>SUM(D239:G239)</f>
        <v>0</v>
      </c>
      <c r="P239" s="541">
        <f>SUM(H239)</f>
        <v>0</v>
      </c>
      <c r="Q239" s="542">
        <f>SUM(D239:H239)</f>
        <v>0</v>
      </c>
      <c r="R239" s="517"/>
      <c r="S239" s="540">
        <f>SUM(I239:M239)</f>
        <v>0</v>
      </c>
      <c r="T239" s="165" t="str">
        <f>IF(Q239&lt;&gt;0,(S239-Q239)/Q239,"0")</f>
        <v>0</v>
      </c>
    </row>
    <row r="240" spans="2:20" ht="13.5" thickBot="1">
      <c r="B240" s="711" t="s">
        <v>357</v>
      </c>
      <c r="C240" s="712"/>
      <c r="D240" s="713">
        <f t="shared" ref="D240:M240" si="25">SUM(D227,D231,D235,D239)</f>
        <v>0</v>
      </c>
      <c r="E240" s="713">
        <f t="shared" si="25"/>
        <v>0</v>
      </c>
      <c r="F240" s="713">
        <f t="shared" si="25"/>
        <v>0</v>
      </c>
      <c r="G240" s="713">
        <f t="shared" si="25"/>
        <v>0</v>
      </c>
      <c r="H240" s="713">
        <f t="shared" si="25"/>
        <v>0</v>
      </c>
      <c r="I240" s="716">
        <f t="shared" si="25"/>
        <v>0</v>
      </c>
      <c r="J240" s="716">
        <f t="shared" si="25"/>
        <v>0</v>
      </c>
      <c r="K240" s="716">
        <f t="shared" si="25"/>
        <v>0</v>
      </c>
      <c r="L240" s="716">
        <f t="shared" si="25"/>
        <v>0</v>
      </c>
      <c r="M240" s="717">
        <f t="shared" si="25"/>
        <v>0</v>
      </c>
      <c r="N240" s="517"/>
      <c r="O240" s="571">
        <f>SUM(O227,O231,O235,O239)</f>
        <v>0</v>
      </c>
      <c r="P240" s="572">
        <f>SUM(P227,P231,P235,P239)</f>
        <v>0</v>
      </c>
      <c r="Q240" s="573">
        <f>SUM(Q227,Q231,Q235,Q239)</f>
        <v>0</v>
      </c>
      <c r="R240" s="517"/>
      <c r="S240" s="571">
        <f>SUM(S227,S231,S235,S239)</f>
        <v>0</v>
      </c>
      <c r="T240" s="189" t="str">
        <f>IF(Q240&lt;&gt;0,(S240-Q240)/Q240,"0")</f>
        <v>0</v>
      </c>
    </row>
    <row r="241" spans="2:20">
      <c r="N241" s="517"/>
      <c r="R241" s="517"/>
    </row>
    <row r="243" spans="2:20">
      <c r="B243" s="574" t="s">
        <v>358</v>
      </c>
      <c r="C243" s="575"/>
      <c r="D243" s="576"/>
      <c r="E243" s="576"/>
      <c r="F243" s="576"/>
      <c r="G243" s="576"/>
      <c r="H243" s="576"/>
      <c r="I243" s="576"/>
      <c r="J243" s="576"/>
      <c r="K243" s="576"/>
      <c r="L243" s="576"/>
      <c r="M243" s="576"/>
      <c r="N243" s="517"/>
      <c r="O243" s="576"/>
      <c r="P243" s="576"/>
      <c r="Q243" s="576"/>
      <c r="R243" s="517"/>
      <c r="S243" s="576"/>
      <c r="T243" s="576"/>
    </row>
    <row r="244" spans="2:20" ht="13.5" thickBot="1">
      <c r="B244" s="574"/>
      <c r="C244" s="575"/>
      <c r="D244" s="576"/>
      <c r="E244" s="576"/>
      <c r="F244" s="576"/>
      <c r="G244" s="576"/>
      <c r="H244" s="576"/>
      <c r="I244" s="576"/>
      <c r="J244" s="576"/>
      <c r="K244" s="576"/>
      <c r="L244" s="576"/>
      <c r="M244" s="576"/>
      <c r="N244" s="517"/>
      <c r="O244" s="576"/>
      <c r="P244" s="576"/>
      <c r="Q244" s="576"/>
      <c r="R244" s="517"/>
      <c r="S244" s="576"/>
      <c r="T244" s="576"/>
    </row>
    <row r="245" spans="2:20">
      <c r="B245" s="1890" t="s">
        <v>279</v>
      </c>
      <c r="C245" s="1888" t="s">
        <v>210</v>
      </c>
      <c r="D245" s="520" t="s">
        <v>211</v>
      </c>
      <c r="E245" s="521"/>
      <c r="F245" s="521"/>
      <c r="G245" s="521"/>
      <c r="H245" s="522"/>
      <c r="I245" s="521" t="s">
        <v>212</v>
      </c>
      <c r="J245" s="523"/>
      <c r="K245" s="523"/>
      <c r="L245" s="523"/>
      <c r="M245" s="522"/>
      <c r="N245" s="517"/>
      <c r="O245" s="524" t="s">
        <v>211</v>
      </c>
      <c r="P245" s="525"/>
      <c r="Q245" s="526"/>
      <c r="R245" s="517"/>
      <c r="S245" s="524" t="s">
        <v>212</v>
      </c>
      <c r="T245" s="526"/>
    </row>
    <row r="246" spans="2:20">
      <c r="B246" s="1891"/>
      <c r="C246" s="1889"/>
      <c r="D246" s="528" t="s">
        <v>99</v>
      </c>
      <c r="E246" s="529" t="s">
        <v>100</v>
      </c>
      <c r="F246" s="529" t="s">
        <v>101</v>
      </c>
      <c r="G246" s="529" t="s">
        <v>102</v>
      </c>
      <c r="H246" s="530" t="s">
        <v>64</v>
      </c>
      <c r="I246" s="531" t="s">
        <v>213</v>
      </c>
      <c r="J246" s="529" t="s">
        <v>214</v>
      </c>
      <c r="K246" s="529" t="s">
        <v>215</v>
      </c>
      <c r="L246" s="529" t="s">
        <v>216</v>
      </c>
      <c r="M246" s="530" t="s">
        <v>217</v>
      </c>
      <c r="N246" s="517"/>
      <c r="O246" s="532" t="s">
        <v>218</v>
      </c>
      <c r="P246" s="533" t="s">
        <v>219</v>
      </c>
      <c r="Q246" s="534" t="s">
        <v>220</v>
      </c>
      <c r="R246" s="517"/>
      <c r="S246" s="532" t="s">
        <v>219</v>
      </c>
      <c r="T246" s="534" t="s">
        <v>221</v>
      </c>
    </row>
    <row r="247" spans="2:20">
      <c r="B247" s="577" t="s">
        <v>280</v>
      </c>
      <c r="C247" s="578"/>
      <c r="D247" s="579"/>
      <c r="E247" s="580"/>
      <c r="F247" s="580"/>
      <c r="G247" s="580"/>
      <c r="H247" s="581"/>
      <c r="I247" s="580"/>
      <c r="J247" s="580"/>
      <c r="K247" s="580"/>
      <c r="L247" s="580"/>
      <c r="M247" s="581"/>
      <c r="N247" s="517"/>
      <c r="O247" s="719"/>
      <c r="P247" s="720"/>
      <c r="Q247" s="721"/>
      <c r="R247" s="517"/>
      <c r="S247" s="722"/>
      <c r="T247" s="723"/>
    </row>
    <row r="248" spans="2:20">
      <c r="B248" s="585" t="s">
        <v>306</v>
      </c>
      <c r="C248" s="586" t="s">
        <v>223</v>
      </c>
      <c r="D248" s="686"/>
      <c r="E248" s="687"/>
      <c r="F248" s="687"/>
      <c r="G248" s="687"/>
      <c r="H248" s="688"/>
      <c r="I248" s="564"/>
      <c r="J248" s="566"/>
      <c r="K248" s="566"/>
      <c r="L248" s="566"/>
      <c r="M248" s="565"/>
      <c r="N248" s="517"/>
      <c r="O248" s="560"/>
      <c r="P248" s="561"/>
      <c r="Q248" s="562"/>
      <c r="R248" s="517"/>
      <c r="S248" s="560"/>
      <c r="T248" s="563"/>
    </row>
    <row r="249" spans="2:20">
      <c r="B249" s="585" t="s">
        <v>307</v>
      </c>
      <c r="C249" s="586"/>
      <c r="D249" s="686"/>
      <c r="E249" s="687"/>
      <c r="F249" s="687"/>
      <c r="G249" s="687"/>
      <c r="H249" s="688"/>
      <c r="I249" s="564"/>
      <c r="J249" s="566"/>
      <c r="K249" s="566"/>
      <c r="L249" s="566"/>
      <c r="M249" s="565"/>
      <c r="N249" s="517"/>
      <c r="O249" s="560"/>
      <c r="P249" s="561"/>
      <c r="Q249" s="562"/>
      <c r="R249" s="517"/>
      <c r="S249" s="560"/>
      <c r="T249" s="563"/>
    </row>
    <row r="250" spans="2:20">
      <c r="B250" s="593" t="s">
        <v>268</v>
      </c>
      <c r="C250" s="586" t="s">
        <v>223</v>
      </c>
      <c r="D250" s="549"/>
      <c r="E250" s="564"/>
      <c r="F250" s="564"/>
      <c r="G250" s="564"/>
      <c r="H250" s="565"/>
      <c r="I250" s="594">
        <f>SUM(I248:I249)</f>
        <v>0</v>
      </c>
      <c r="J250" s="541">
        <f>SUM(J248:J249)</f>
        <v>0</v>
      </c>
      <c r="K250" s="541">
        <f>SUM(K248:K249)</f>
        <v>0</v>
      </c>
      <c r="L250" s="541">
        <f>SUM(L248:L249)</f>
        <v>0</v>
      </c>
      <c r="M250" s="542">
        <f>SUM(M248:M249)</f>
        <v>0</v>
      </c>
      <c r="N250" s="517"/>
      <c r="O250" s="540">
        <f>SUM(D250:G250)</f>
        <v>0</v>
      </c>
      <c r="P250" s="541">
        <f>SUM(H250)</f>
        <v>0</v>
      </c>
      <c r="Q250" s="542">
        <f>SUM(D250:H250)</f>
        <v>0</v>
      </c>
      <c r="R250" s="517"/>
      <c r="S250" s="540">
        <f>SUM(I250:M250)</f>
        <v>0</v>
      </c>
      <c r="T250" s="165" t="str">
        <f>IF(Q250&lt;&gt;0,(S250-Q250)/Q250,"0")</f>
        <v>0</v>
      </c>
    </row>
    <row r="251" spans="2:20">
      <c r="B251" s="577" t="s">
        <v>359</v>
      </c>
      <c r="C251" s="595"/>
      <c r="D251" s="596"/>
      <c r="E251" s="597"/>
      <c r="F251" s="597"/>
      <c r="G251" s="597"/>
      <c r="H251" s="598"/>
      <c r="I251" s="597"/>
      <c r="J251" s="597"/>
      <c r="K251" s="597"/>
      <c r="L251" s="597"/>
      <c r="M251" s="598"/>
      <c r="N251" s="517"/>
      <c r="O251" s="722"/>
      <c r="P251" s="720"/>
      <c r="Q251" s="721"/>
      <c r="R251" s="517"/>
      <c r="S251" s="719"/>
      <c r="T251" s="721"/>
    </row>
    <row r="252" spans="2:20">
      <c r="B252" s="585" t="s">
        <v>308</v>
      </c>
      <c r="C252" s="586" t="s">
        <v>223</v>
      </c>
      <c r="D252" s="686"/>
      <c r="E252" s="687"/>
      <c r="F252" s="687"/>
      <c r="G252" s="687"/>
      <c r="H252" s="688"/>
      <c r="I252" s="564"/>
      <c r="J252" s="566"/>
      <c r="K252" s="566"/>
      <c r="L252" s="566"/>
      <c r="M252" s="565"/>
      <c r="N252" s="517"/>
      <c r="O252" s="560"/>
      <c r="P252" s="561"/>
      <c r="Q252" s="562"/>
      <c r="R252" s="517"/>
      <c r="S252" s="560"/>
      <c r="T252" s="563"/>
    </row>
    <row r="253" spans="2:20">
      <c r="B253" s="585" t="s">
        <v>309</v>
      </c>
      <c r="C253" s="586" t="s">
        <v>223</v>
      </c>
      <c r="D253" s="686"/>
      <c r="E253" s="687"/>
      <c r="F253" s="687"/>
      <c r="G253" s="687"/>
      <c r="H253" s="688"/>
      <c r="I253" s="564"/>
      <c r="J253" s="566"/>
      <c r="K253" s="566"/>
      <c r="L253" s="566"/>
      <c r="M253" s="565"/>
      <c r="N253" s="517"/>
      <c r="O253" s="560"/>
      <c r="P253" s="561"/>
      <c r="Q253" s="562"/>
      <c r="R253" s="517"/>
      <c r="S253" s="560"/>
      <c r="T253" s="563"/>
    </row>
    <row r="254" spans="2:20">
      <c r="B254" s="593" t="s">
        <v>270</v>
      </c>
      <c r="C254" s="586" t="s">
        <v>223</v>
      </c>
      <c r="D254" s="549"/>
      <c r="E254" s="564"/>
      <c r="F254" s="564"/>
      <c r="G254" s="564"/>
      <c r="H254" s="565"/>
      <c r="I254" s="594">
        <f>SUM(I252:I253)</f>
        <v>0</v>
      </c>
      <c r="J254" s="541">
        <f>SUM(J252:J253)</f>
        <v>0</v>
      </c>
      <c r="K254" s="541">
        <f>SUM(K252:K253)</f>
        <v>0</v>
      </c>
      <c r="L254" s="541">
        <f>SUM(L252:L253)</f>
        <v>0</v>
      </c>
      <c r="M254" s="542">
        <f>SUM(M252:M253)</f>
        <v>0</v>
      </c>
      <c r="N254" s="517"/>
      <c r="O254" s="540">
        <f>SUM(D254:G254)</f>
        <v>0</v>
      </c>
      <c r="P254" s="541">
        <f>SUM(H254)</f>
        <v>0</v>
      </c>
      <c r="Q254" s="542">
        <f>SUM(D254:H254)</f>
        <v>0</v>
      </c>
      <c r="R254" s="517"/>
      <c r="S254" s="540">
        <f>SUM(I254:M254)</f>
        <v>0</v>
      </c>
      <c r="T254" s="165" t="str">
        <f>IF(Q254&lt;&gt;0,(S254-Q254)/Q254,"0")</f>
        <v>0</v>
      </c>
    </row>
    <row r="255" spans="2:20">
      <c r="B255" s="577" t="s">
        <v>360</v>
      </c>
      <c r="C255" s="595"/>
      <c r="D255" s="596"/>
      <c r="E255" s="597"/>
      <c r="F255" s="597"/>
      <c r="G255" s="597"/>
      <c r="H255" s="598"/>
      <c r="I255" s="597"/>
      <c r="J255" s="597"/>
      <c r="K255" s="597"/>
      <c r="L255" s="597"/>
      <c r="M255" s="598"/>
      <c r="N255" s="517"/>
      <c r="O255" s="719"/>
      <c r="P255" s="720"/>
      <c r="Q255" s="721"/>
      <c r="R255" s="517"/>
      <c r="S255" s="719"/>
      <c r="T255" s="721"/>
    </row>
    <row r="256" spans="2:20">
      <c r="B256" s="585" t="s">
        <v>310</v>
      </c>
      <c r="C256" s="586" t="s">
        <v>223</v>
      </c>
      <c r="D256" s="686"/>
      <c r="E256" s="687"/>
      <c r="F256" s="687"/>
      <c r="G256" s="687"/>
      <c r="H256" s="688"/>
      <c r="I256" s="564"/>
      <c r="J256" s="566"/>
      <c r="K256" s="566"/>
      <c r="L256" s="566"/>
      <c r="M256" s="565"/>
      <c r="N256" s="517"/>
      <c r="O256" s="560"/>
      <c r="P256" s="561"/>
      <c r="Q256" s="562"/>
      <c r="R256" s="517"/>
      <c r="S256" s="560"/>
      <c r="T256" s="563"/>
    </row>
    <row r="257" spans="1:20">
      <c r="B257" s="585" t="s">
        <v>311</v>
      </c>
      <c r="C257" s="586" t="s">
        <v>223</v>
      </c>
      <c r="D257" s="686"/>
      <c r="E257" s="687"/>
      <c r="F257" s="687"/>
      <c r="G257" s="687"/>
      <c r="H257" s="688"/>
      <c r="I257" s="564"/>
      <c r="J257" s="566"/>
      <c r="K257" s="566"/>
      <c r="L257" s="566"/>
      <c r="M257" s="565"/>
      <c r="N257" s="517"/>
      <c r="O257" s="560"/>
      <c r="P257" s="561"/>
      <c r="Q257" s="562"/>
      <c r="R257" s="517"/>
      <c r="S257" s="560"/>
      <c r="T257" s="563"/>
    </row>
    <row r="258" spans="1:20">
      <c r="B258" s="593" t="s">
        <v>272</v>
      </c>
      <c r="C258" s="586" t="s">
        <v>223</v>
      </c>
      <c r="D258" s="549"/>
      <c r="E258" s="564"/>
      <c r="F258" s="564"/>
      <c r="G258" s="564"/>
      <c r="H258" s="565"/>
      <c r="I258" s="594">
        <f>SUM(I256:I257)</f>
        <v>0</v>
      </c>
      <c r="J258" s="541">
        <f>SUM(J256:J257)</f>
        <v>0</v>
      </c>
      <c r="K258" s="541">
        <f>SUM(K256:K257)</f>
        <v>0</v>
      </c>
      <c r="L258" s="541">
        <f>SUM(L256:L257)</f>
        <v>0</v>
      </c>
      <c r="M258" s="542">
        <f>SUM(M256:M257)</f>
        <v>0</v>
      </c>
      <c r="N258" s="517"/>
      <c r="O258" s="540">
        <f>SUM(D258:G258)</f>
        <v>0</v>
      </c>
      <c r="P258" s="541">
        <f>SUM(H258)</f>
        <v>0</v>
      </c>
      <c r="Q258" s="542">
        <f>SUM(D258:H258)</f>
        <v>0</v>
      </c>
      <c r="R258" s="517"/>
      <c r="S258" s="540">
        <f>SUM(I258:M258)</f>
        <v>0</v>
      </c>
      <c r="T258" s="165" t="str">
        <f>IF(Q258&lt;&gt;0,(S258-Q258)/Q258,"0")</f>
        <v>0</v>
      </c>
    </row>
    <row r="259" spans="1:20">
      <c r="B259" s="577" t="s">
        <v>361</v>
      </c>
      <c r="C259" s="595"/>
      <c r="D259" s="596"/>
      <c r="E259" s="597"/>
      <c r="F259" s="597"/>
      <c r="G259" s="597"/>
      <c r="H259" s="598"/>
      <c r="I259" s="597"/>
      <c r="J259" s="597"/>
      <c r="K259" s="597"/>
      <c r="L259" s="597"/>
      <c r="M259" s="598"/>
      <c r="N259" s="517"/>
      <c r="O259" s="719"/>
      <c r="P259" s="720"/>
      <c r="Q259" s="721"/>
      <c r="R259" s="517"/>
      <c r="S259" s="719"/>
      <c r="T259" s="721"/>
    </row>
    <row r="260" spans="1:20">
      <c r="B260" s="585" t="s">
        <v>312</v>
      </c>
      <c r="C260" s="586" t="s">
        <v>223</v>
      </c>
      <c r="D260" s="686"/>
      <c r="E260" s="687"/>
      <c r="F260" s="687"/>
      <c r="G260" s="687"/>
      <c r="H260" s="688"/>
      <c r="I260" s="564"/>
      <c r="J260" s="566"/>
      <c r="K260" s="566"/>
      <c r="L260" s="566"/>
      <c r="M260" s="565"/>
      <c r="N260" s="517"/>
      <c r="O260" s="560"/>
      <c r="P260" s="561"/>
      <c r="Q260" s="562"/>
      <c r="R260" s="517"/>
      <c r="S260" s="560"/>
      <c r="T260" s="563"/>
    </row>
    <row r="261" spans="1:20">
      <c r="B261" s="585" t="s">
        <v>313</v>
      </c>
      <c r="C261" s="586" t="s">
        <v>223</v>
      </c>
      <c r="D261" s="686"/>
      <c r="E261" s="687"/>
      <c r="F261" s="687"/>
      <c r="G261" s="687"/>
      <c r="H261" s="688"/>
      <c r="I261" s="564"/>
      <c r="J261" s="566"/>
      <c r="K261" s="566"/>
      <c r="L261" s="566"/>
      <c r="M261" s="565"/>
      <c r="N261" s="517"/>
      <c r="O261" s="560"/>
      <c r="P261" s="561"/>
      <c r="Q261" s="562"/>
      <c r="R261" s="517"/>
      <c r="S261" s="560"/>
      <c r="T261" s="563"/>
    </row>
    <row r="262" spans="1:20">
      <c r="B262" s="704" t="s">
        <v>274</v>
      </c>
      <c r="C262" s="586" t="s">
        <v>223</v>
      </c>
      <c r="D262" s="705"/>
      <c r="E262" s="706"/>
      <c r="F262" s="706"/>
      <c r="G262" s="706"/>
      <c r="H262" s="707"/>
      <c r="I262" s="708">
        <f>SUM(I260:I261)</f>
        <v>0</v>
      </c>
      <c r="J262" s="709">
        <f>SUM(J260:J261)</f>
        <v>0</v>
      </c>
      <c r="K262" s="709">
        <f>SUM(K260:K261)</f>
        <v>0</v>
      </c>
      <c r="L262" s="709">
        <f>SUM(L260:L261)</f>
        <v>0</v>
      </c>
      <c r="M262" s="710">
        <f>SUM(M260:M261)</f>
        <v>0</v>
      </c>
      <c r="N262" s="517"/>
      <c r="O262" s="540">
        <f>SUM(D262:G262)</f>
        <v>0</v>
      </c>
      <c r="P262" s="541">
        <f>SUM(H262)</f>
        <v>0</v>
      </c>
      <c r="Q262" s="542">
        <f>SUM(D262:H262)</f>
        <v>0</v>
      </c>
      <c r="R262" s="517"/>
      <c r="S262" s="540">
        <f>SUM(I262:M262)</f>
        <v>0</v>
      </c>
      <c r="T262" s="165" t="str">
        <f>IF(Q262&lt;&gt;0,(S262-Q262)/Q262,"0")</f>
        <v>0</v>
      </c>
    </row>
    <row r="263" spans="1:20" ht="13.5" thickBot="1">
      <c r="B263" s="724" t="s">
        <v>362</v>
      </c>
      <c r="C263" s="712"/>
      <c r="D263" s="713">
        <f t="shared" ref="D263:M263" si="26">SUM(D250,D254,D258,D262)</f>
        <v>0</v>
      </c>
      <c r="E263" s="713">
        <f t="shared" si="26"/>
        <v>0</v>
      </c>
      <c r="F263" s="713">
        <f t="shared" si="26"/>
        <v>0</v>
      </c>
      <c r="G263" s="713">
        <f t="shared" si="26"/>
        <v>0</v>
      </c>
      <c r="H263" s="713">
        <f t="shared" si="26"/>
        <v>0</v>
      </c>
      <c r="I263" s="714">
        <f t="shared" si="26"/>
        <v>0</v>
      </c>
      <c r="J263" s="714">
        <f t="shared" si="26"/>
        <v>0</v>
      </c>
      <c r="K263" s="714">
        <f t="shared" si="26"/>
        <v>0</v>
      </c>
      <c r="L263" s="714">
        <f t="shared" si="26"/>
        <v>0</v>
      </c>
      <c r="M263" s="715">
        <f t="shared" si="26"/>
        <v>0</v>
      </c>
      <c r="N263" s="517"/>
      <c r="O263" s="571">
        <f>SUM(O250,O254,O258,O262)</f>
        <v>0</v>
      </c>
      <c r="P263" s="572">
        <f>SUM(P250,P254,P258,P262)</f>
        <v>0</v>
      </c>
      <c r="Q263" s="573">
        <f>SUM(Q250,Q254,Q258,Q262)</f>
        <v>0</v>
      </c>
      <c r="R263" s="517"/>
      <c r="S263" s="571">
        <f>SUM(S250,S254,S258,S262)</f>
        <v>0</v>
      </c>
      <c r="T263" s="189" t="str">
        <f>IF(Q263&lt;&gt;0,(S263-Q263)/Q263,"0")</f>
        <v>0</v>
      </c>
    </row>
    <row r="266" spans="1:20">
      <c r="D266" s="725">
        <f>SUM(D240:M240) - SUM(D263:M263)</f>
        <v>0</v>
      </c>
    </row>
    <row r="267" spans="1:20">
      <c r="A267" s="726"/>
      <c r="B267" s="727"/>
      <c r="C267" s="728"/>
      <c r="D267" s="617"/>
      <c r="E267" s="617"/>
      <c r="F267" s="617"/>
      <c r="G267" s="617"/>
      <c r="H267" s="617"/>
      <c r="I267" s="617"/>
      <c r="J267" s="617"/>
      <c r="K267" s="617"/>
      <c r="L267" s="617"/>
      <c r="M267" s="617"/>
      <c r="N267" s="617"/>
    </row>
  </sheetData>
  <mergeCells count="18">
    <mergeCell ref="B182:B183"/>
    <mergeCell ref="C182:C183"/>
    <mergeCell ref="B221:B222"/>
    <mergeCell ref="C221:C222"/>
    <mergeCell ref="B245:B246"/>
    <mergeCell ref="C245:C246"/>
    <mergeCell ref="B79:B80"/>
    <mergeCell ref="C79:C80"/>
    <mergeCell ref="B110:B111"/>
    <mergeCell ref="C110:C111"/>
    <mergeCell ref="B143:B144"/>
    <mergeCell ref="C143:C144"/>
    <mergeCell ref="C8:C9"/>
    <mergeCell ref="C18:C19"/>
    <mergeCell ref="B26:B27"/>
    <mergeCell ref="C26:C27"/>
    <mergeCell ref="B48:B49"/>
    <mergeCell ref="C48:C49"/>
  </mergeCells>
  <phoneticPr fontId="2" type="noConversion"/>
  <pageMargins left="0.75" right="0.75" top="1" bottom="1" header="0.5" footer="0.5"/>
  <pageSetup paperSize="9" scale="21"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5FFFF"/>
    <pageSetUpPr fitToPage="1"/>
  </sheetPr>
  <dimension ref="A1:AO126"/>
  <sheetViews>
    <sheetView zoomScale="70" zoomScaleNormal="70" workbookViewId="0">
      <selection activeCell="U36" sqref="U36"/>
    </sheetView>
  </sheetViews>
  <sheetFormatPr defaultColWidth="8.85546875" defaultRowHeight="12.75"/>
  <cols>
    <col min="1" max="1" width="9.42578125" style="443" customWidth="1"/>
    <col min="2" max="2" width="4.7109375" style="443" customWidth="1"/>
    <col min="3" max="3" width="39" style="443" customWidth="1"/>
    <col min="4" max="13" width="11" style="443" customWidth="1"/>
    <col min="14" max="36" width="15.42578125" style="443" customWidth="1"/>
    <col min="37" max="37" width="109.28515625" style="443" customWidth="1"/>
    <col min="38" max="16384" width="8.85546875" style="443"/>
  </cols>
  <sheetData>
    <row r="1" spans="1:37" s="730" customFormat="1" ht="26.25">
      <c r="A1" s="729" t="s">
        <v>363</v>
      </c>
      <c r="D1" s="729"/>
      <c r="E1" s="731"/>
      <c r="F1" s="732"/>
      <c r="G1" s="732"/>
      <c r="I1" s="733"/>
      <c r="J1" s="733"/>
      <c r="L1" s="733"/>
    </row>
    <row r="2" spans="1:37" s="730" customFormat="1" ht="18">
      <c r="A2" s="734"/>
      <c r="E2" s="735"/>
    </row>
    <row r="3" spans="1:37" s="737" customFormat="1" ht="18.75" thickBot="1">
      <c r="A3" s="736" t="s">
        <v>364</v>
      </c>
      <c r="D3" s="736"/>
      <c r="E3" s="738"/>
    </row>
    <row r="5" spans="1:37" s="439" customFormat="1" ht="15.75" customHeight="1">
      <c r="B5" s="440" t="s">
        <v>365</v>
      </c>
      <c r="C5" s="440"/>
    </row>
    <row r="6" spans="1:37" ht="13.5" thickBot="1">
      <c r="B6" s="458"/>
      <c r="C6" s="458"/>
    </row>
    <row r="7" spans="1:37" ht="15.75" customHeight="1">
      <c r="B7" s="458"/>
      <c r="C7" s="1901"/>
      <c r="D7" s="446" t="s">
        <v>211</v>
      </c>
      <c r="E7" s="447"/>
      <c r="F7" s="447"/>
      <c r="G7" s="447"/>
      <c r="H7" s="448"/>
      <c r="I7" s="447" t="s">
        <v>212</v>
      </c>
      <c r="J7" s="449"/>
      <c r="K7" s="449"/>
      <c r="L7" s="449"/>
      <c r="M7" s="448"/>
      <c r="N7" s="445"/>
      <c r="O7" s="1904" t="s">
        <v>211</v>
      </c>
      <c r="P7" s="1905"/>
      <c r="Q7" s="1906"/>
      <c r="R7" s="441"/>
      <c r="S7" s="1904" t="s">
        <v>212</v>
      </c>
      <c r="T7" s="1906"/>
      <c r="U7" s="739"/>
      <c r="W7" s="740"/>
      <c r="X7" s="740"/>
      <c r="Y7" s="740"/>
      <c r="Z7" s="740"/>
      <c r="AA7" s="740"/>
      <c r="AB7" s="740"/>
      <c r="AC7" s="740"/>
      <c r="AD7" s="740"/>
      <c r="AE7" s="740"/>
      <c r="AF7" s="740"/>
      <c r="AG7" s="740"/>
      <c r="AH7" s="740"/>
      <c r="AI7" s="740"/>
      <c r="AJ7" s="740"/>
    </row>
    <row r="8" spans="1:37" ht="15.75" customHeight="1">
      <c r="C8" s="1902"/>
      <c r="D8" s="250" t="s">
        <v>99</v>
      </c>
      <c r="E8" s="251" t="s">
        <v>100</v>
      </c>
      <c r="F8" s="251" t="s">
        <v>101</v>
      </c>
      <c r="G8" s="251" t="s">
        <v>102</v>
      </c>
      <c r="H8" s="252" t="s">
        <v>64</v>
      </c>
      <c r="I8" s="741" t="s">
        <v>213</v>
      </c>
      <c r="J8" s="251" t="s">
        <v>214</v>
      </c>
      <c r="K8" s="251" t="s">
        <v>215</v>
      </c>
      <c r="L8" s="251" t="s">
        <v>216</v>
      </c>
      <c r="M8" s="252" t="s">
        <v>217</v>
      </c>
      <c r="N8" s="445"/>
      <c r="O8" s="742" t="s">
        <v>218</v>
      </c>
      <c r="P8" s="743" t="s">
        <v>219</v>
      </c>
      <c r="Q8" s="744" t="s">
        <v>220</v>
      </c>
      <c r="R8" s="441"/>
      <c r="S8" s="742" t="s">
        <v>219</v>
      </c>
      <c r="T8" s="744" t="s">
        <v>221</v>
      </c>
      <c r="U8" s="739"/>
      <c r="W8" s="745"/>
      <c r="X8" s="745"/>
      <c r="Y8" s="745"/>
      <c r="Z8" s="745"/>
      <c r="AA8" s="745"/>
      <c r="AB8" s="745"/>
      <c r="AC8" s="745"/>
      <c r="AD8" s="745"/>
      <c r="AE8" s="745"/>
      <c r="AF8" s="745"/>
      <c r="AG8" s="745"/>
      <c r="AH8" s="745"/>
      <c r="AI8" s="745"/>
      <c r="AJ8" s="745"/>
    </row>
    <row r="9" spans="1:37" ht="15.75" customHeight="1">
      <c r="C9" s="1903"/>
      <c r="D9" s="746" t="s">
        <v>366</v>
      </c>
      <c r="E9" s="747" t="s">
        <v>366</v>
      </c>
      <c r="F9" s="747" t="s">
        <v>366</v>
      </c>
      <c r="G9" s="747" t="s">
        <v>366</v>
      </c>
      <c r="H9" s="748" t="s">
        <v>366</v>
      </c>
      <c r="I9" s="749" t="s">
        <v>366</v>
      </c>
      <c r="J9" s="747" t="s">
        <v>366</v>
      </c>
      <c r="K9" s="747" t="s">
        <v>366</v>
      </c>
      <c r="L9" s="747" t="s">
        <v>366</v>
      </c>
      <c r="M9" s="748" t="s">
        <v>366</v>
      </c>
      <c r="N9" s="750"/>
      <c r="O9" s="746" t="s">
        <v>366</v>
      </c>
      <c r="P9" s="747" t="s">
        <v>366</v>
      </c>
      <c r="Q9" s="748" t="s">
        <v>366</v>
      </c>
      <c r="R9" s="441"/>
      <c r="S9" s="746" t="s">
        <v>366</v>
      </c>
      <c r="T9" s="748" t="s">
        <v>366</v>
      </c>
      <c r="U9" s="751"/>
      <c r="W9" s="751"/>
      <c r="X9" s="751"/>
      <c r="Y9" s="751"/>
      <c r="Z9" s="751"/>
      <c r="AA9" s="751"/>
      <c r="AB9" s="751"/>
      <c r="AC9" s="751"/>
      <c r="AD9" s="751"/>
      <c r="AE9" s="751"/>
      <c r="AF9" s="751"/>
      <c r="AG9" s="751"/>
      <c r="AH9" s="751"/>
      <c r="AI9" s="751"/>
      <c r="AJ9" s="751"/>
    </row>
    <row r="10" spans="1:37" ht="15.75" customHeight="1">
      <c r="C10" s="482" t="s">
        <v>367</v>
      </c>
      <c r="D10" s="752"/>
      <c r="E10" s="753"/>
      <c r="F10" s="753"/>
      <c r="G10" s="753"/>
      <c r="H10" s="754"/>
      <c r="I10" s="753"/>
      <c r="J10" s="753"/>
      <c r="K10" s="753"/>
      <c r="L10" s="753"/>
      <c r="M10" s="754"/>
      <c r="N10" s="750"/>
      <c r="O10" s="752"/>
      <c r="P10" s="498"/>
      <c r="Q10" s="755"/>
      <c r="R10" s="441"/>
      <c r="S10" s="752"/>
      <c r="T10" s="756"/>
      <c r="U10" s="757"/>
      <c r="W10" s="757"/>
      <c r="X10" s="757"/>
      <c r="Y10" s="757"/>
      <c r="Z10" s="757"/>
      <c r="AA10" s="757"/>
      <c r="AB10" s="757"/>
      <c r="AC10" s="757"/>
      <c r="AD10" s="757"/>
      <c r="AE10" s="757"/>
      <c r="AF10" s="757"/>
      <c r="AG10" s="757"/>
      <c r="AH10" s="757"/>
      <c r="AI10" s="757"/>
      <c r="AJ10" s="757"/>
    </row>
    <row r="11" spans="1:37" ht="15.75" customHeight="1">
      <c r="C11" s="758" t="s">
        <v>368</v>
      </c>
      <c r="D11" s="156">
        <v>0.57165925063112633</v>
      </c>
      <c r="E11" s="157">
        <v>0.39507121976815646</v>
      </c>
      <c r="F11" s="157">
        <v>0.25086326286975291</v>
      </c>
      <c r="G11" s="157">
        <v>0.35625412558412528</v>
      </c>
      <c r="H11" s="158">
        <v>0.47509350424018953</v>
      </c>
      <c r="I11" s="157">
        <v>0.49943539744018955</v>
      </c>
      <c r="J11" s="159">
        <v>0.51282127384018961</v>
      </c>
      <c r="K11" s="159">
        <v>0.52252043074018961</v>
      </c>
      <c r="L11" s="159">
        <v>0.4930965582401895</v>
      </c>
      <c r="M11" s="158">
        <v>0.48740838484018956</v>
      </c>
      <c r="N11" s="160"/>
      <c r="O11" s="161">
        <f t="shared" ref="O11:O16" si="0">SUM(D11:G11)</f>
        <v>1.5738478588531608</v>
      </c>
      <c r="P11" s="162">
        <f t="shared" ref="P11:P16" si="1">H11</f>
        <v>0.47509350424018953</v>
      </c>
      <c r="Q11" s="163">
        <f t="shared" ref="Q11:Q19" si="2">SUM(D11:H11)</f>
        <v>2.0489413630933502</v>
      </c>
      <c r="R11" s="164"/>
      <c r="S11" s="161">
        <f t="shared" ref="S11:S16" si="3">SUM(I11:M11)</f>
        <v>2.5152820451009479</v>
      </c>
      <c r="T11" s="165">
        <f t="shared" ref="T11:T16" si="4">IF(Q11&lt;&gt;0,(S11-Q11)/Q11,"0")</f>
        <v>0.22760079444320883</v>
      </c>
      <c r="U11" s="759"/>
      <c r="V11" s="760"/>
      <c r="W11" s="759"/>
      <c r="X11" s="759"/>
      <c r="Y11" s="759"/>
      <c r="Z11" s="759"/>
      <c r="AA11" s="759"/>
      <c r="AB11" s="759"/>
      <c r="AC11" s="759"/>
      <c r="AD11" s="759"/>
      <c r="AE11" s="759"/>
      <c r="AF11" s="759"/>
      <c r="AG11" s="759"/>
      <c r="AH11" s="759"/>
      <c r="AI11" s="759"/>
      <c r="AJ11" s="759"/>
      <c r="AK11" s="760"/>
    </row>
    <row r="12" spans="1:37" ht="15.75" customHeight="1">
      <c r="C12" s="758" t="s">
        <v>369</v>
      </c>
      <c r="D12" s="156">
        <v>1.967549636067867</v>
      </c>
      <c r="E12" s="157">
        <v>2.4761957269184767</v>
      </c>
      <c r="F12" s="157">
        <v>3.4433390243030728</v>
      </c>
      <c r="G12" s="157">
        <v>4.7264120998889698</v>
      </c>
      <c r="H12" s="158">
        <v>3.0103061132661173</v>
      </c>
      <c r="I12" s="157">
        <v>5.0241634231003154</v>
      </c>
      <c r="J12" s="159">
        <v>5.0929558861529891</v>
      </c>
      <c r="K12" s="159">
        <v>4.0503685090608652</v>
      </c>
      <c r="L12" s="159">
        <v>3.7900980480528648</v>
      </c>
      <c r="M12" s="158">
        <v>3.7703699248048648</v>
      </c>
      <c r="N12" s="160"/>
      <c r="O12" s="161">
        <f t="shared" si="0"/>
        <v>12.613496487178386</v>
      </c>
      <c r="P12" s="162">
        <f t="shared" si="1"/>
        <v>3.0103061132661173</v>
      </c>
      <c r="Q12" s="163">
        <f t="shared" si="2"/>
        <v>15.623802600444503</v>
      </c>
      <c r="R12" s="164"/>
      <c r="S12" s="161">
        <f t="shared" si="3"/>
        <v>21.727955791171897</v>
      </c>
      <c r="T12" s="165">
        <f t="shared" si="4"/>
        <v>0.39069574461685336</v>
      </c>
      <c r="U12" s="759"/>
      <c r="V12" s="760"/>
      <c r="W12" s="759"/>
      <c r="X12" s="759"/>
      <c r="Y12" s="759"/>
      <c r="Z12" s="759"/>
      <c r="AA12" s="759"/>
      <c r="AB12" s="759"/>
      <c r="AC12" s="759"/>
      <c r="AD12" s="759"/>
      <c r="AE12" s="759"/>
      <c r="AF12" s="759"/>
      <c r="AG12" s="759"/>
      <c r="AH12" s="759"/>
      <c r="AI12" s="759"/>
      <c r="AJ12" s="759"/>
      <c r="AK12" s="760"/>
    </row>
    <row r="13" spans="1:37" ht="15.75" customHeight="1">
      <c r="C13" s="758" t="s">
        <v>370</v>
      </c>
      <c r="D13" s="156">
        <v>2.8757395629938651</v>
      </c>
      <c r="E13" s="157">
        <v>0.18007180822595509</v>
      </c>
      <c r="F13" s="157">
        <v>4.1021656916131732</v>
      </c>
      <c r="G13" s="157">
        <v>3.1047959194729047</v>
      </c>
      <c r="H13" s="158">
        <v>2.1593067292754915</v>
      </c>
      <c r="I13" s="157">
        <v>2.9662126222561809</v>
      </c>
      <c r="J13" s="159">
        <v>5.6029334800611252</v>
      </c>
      <c r="K13" s="159">
        <v>6.512759274513682</v>
      </c>
      <c r="L13" s="159">
        <v>6.0815332379392375</v>
      </c>
      <c r="M13" s="158">
        <v>4.2932179041475456</v>
      </c>
      <c r="N13" s="160"/>
      <c r="O13" s="161">
        <f t="shared" si="0"/>
        <v>10.262772982305897</v>
      </c>
      <c r="P13" s="162">
        <f t="shared" si="1"/>
        <v>2.1593067292754915</v>
      </c>
      <c r="Q13" s="163">
        <f t="shared" si="2"/>
        <v>12.422079711581389</v>
      </c>
      <c r="R13" s="164"/>
      <c r="S13" s="161">
        <f t="shared" si="3"/>
        <v>25.456656518917772</v>
      </c>
      <c r="T13" s="165">
        <f t="shared" si="4"/>
        <v>1.0493071297219214</v>
      </c>
      <c r="U13" s="759"/>
      <c r="V13" s="760"/>
      <c r="W13" s="759"/>
      <c r="X13" s="759"/>
      <c r="Y13" s="759"/>
      <c r="Z13" s="759"/>
      <c r="AA13" s="759"/>
      <c r="AB13" s="759"/>
      <c r="AC13" s="759"/>
      <c r="AD13" s="759"/>
      <c r="AE13" s="759"/>
      <c r="AF13" s="759"/>
      <c r="AG13" s="759"/>
      <c r="AH13" s="759"/>
      <c r="AI13" s="759"/>
      <c r="AJ13" s="759"/>
      <c r="AK13" s="760"/>
    </row>
    <row r="14" spans="1:37" ht="15.75" customHeight="1">
      <c r="C14" s="758" t="s">
        <v>371</v>
      </c>
      <c r="D14" s="156">
        <v>7.5453910223930984</v>
      </c>
      <c r="E14" s="157">
        <v>8.1143110502619766</v>
      </c>
      <c r="F14" s="157">
        <v>19.428324139267961</v>
      </c>
      <c r="G14" s="157">
        <v>1.9757487211594469</v>
      </c>
      <c r="H14" s="158">
        <v>0.81125664430336231</v>
      </c>
      <c r="I14" s="157">
        <v>7.9436598509734582</v>
      </c>
      <c r="J14" s="159">
        <v>13.437272762467215</v>
      </c>
      <c r="K14" s="159">
        <v>13.050405109742117</v>
      </c>
      <c r="L14" s="159">
        <v>5.2288719025023207</v>
      </c>
      <c r="M14" s="158">
        <v>4.2049473249020917</v>
      </c>
      <c r="N14" s="160"/>
      <c r="O14" s="161">
        <f t="shared" si="0"/>
        <v>37.063774933082485</v>
      </c>
      <c r="P14" s="162">
        <f t="shared" si="1"/>
        <v>0.81125664430336231</v>
      </c>
      <c r="Q14" s="163">
        <f t="shared" si="2"/>
        <v>37.875031577385847</v>
      </c>
      <c r="R14" s="164"/>
      <c r="S14" s="161">
        <f t="shared" si="3"/>
        <v>43.865156950587206</v>
      </c>
      <c r="T14" s="165">
        <f t="shared" si="4"/>
        <v>0.15815499350706547</v>
      </c>
      <c r="U14" s="759"/>
      <c r="V14" s="760"/>
      <c r="W14" s="759" t="s">
        <v>67</v>
      </c>
      <c r="X14" s="759"/>
      <c r="Y14" s="759"/>
      <c r="Z14" s="759"/>
      <c r="AA14" s="759"/>
      <c r="AB14" s="759"/>
      <c r="AC14" s="759"/>
      <c r="AD14" s="759"/>
      <c r="AE14" s="759"/>
      <c r="AF14" s="759"/>
      <c r="AG14" s="759"/>
      <c r="AH14" s="759"/>
      <c r="AI14" s="759"/>
      <c r="AJ14" s="759"/>
      <c r="AK14" s="760"/>
    </row>
    <row r="15" spans="1:37" ht="15.75" customHeight="1">
      <c r="C15" s="466" t="s">
        <v>372</v>
      </c>
      <c r="D15" s="166"/>
      <c r="E15" s="167"/>
      <c r="F15" s="167"/>
      <c r="G15" s="157">
        <v>0</v>
      </c>
      <c r="H15" s="158">
        <v>0</v>
      </c>
      <c r="I15" s="157">
        <v>0</v>
      </c>
      <c r="J15" s="159">
        <v>0</v>
      </c>
      <c r="K15" s="159">
        <v>0</v>
      </c>
      <c r="L15" s="159">
        <v>0</v>
      </c>
      <c r="M15" s="158">
        <v>0</v>
      </c>
      <c r="N15" s="168"/>
      <c r="O15" s="161">
        <f t="shared" si="0"/>
        <v>0</v>
      </c>
      <c r="P15" s="162">
        <f t="shared" si="1"/>
        <v>0</v>
      </c>
      <c r="Q15" s="163">
        <f>SUM(D15:H15)</f>
        <v>0</v>
      </c>
      <c r="R15" s="164"/>
      <c r="S15" s="161">
        <f t="shared" si="3"/>
        <v>0</v>
      </c>
      <c r="T15" s="165" t="str">
        <f t="shared" si="4"/>
        <v>0</v>
      </c>
      <c r="U15" s="759"/>
      <c r="V15" s="760"/>
      <c r="W15" s="759"/>
      <c r="X15" s="759"/>
      <c r="Y15" s="759"/>
      <c r="Z15" s="759"/>
      <c r="AA15" s="759"/>
      <c r="AB15" s="759"/>
      <c r="AC15" s="759"/>
      <c r="AD15" s="759"/>
      <c r="AE15" s="759"/>
      <c r="AF15" s="759"/>
      <c r="AG15" s="759"/>
      <c r="AH15" s="759"/>
      <c r="AI15" s="759"/>
      <c r="AJ15" s="759"/>
      <c r="AK15" s="760"/>
    </row>
    <row r="16" spans="1:37" ht="15.75" customHeight="1">
      <c r="C16" s="466" t="s">
        <v>220</v>
      </c>
      <c r="D16" s="169">
        <v>12.960339472085955</v>
      </c>
      <c r="E16" s="170">
        <v>11.165649805174564</v>
      </c>
      <c r="F16" s="170">
        <v>27.224692118053959</v>
      </c>
      <c r="G16" s="170">
        <v>10.163210866105446</v>
      </c>
      <c r="H16" s="171">
        <v>6.4559629910851601</v>
      </c>
      <c r="I16" s="170">
        <v>16.433471293770143</v>
      </c>
      <c r="J16" s="172">
        <v>24.645983402521516</v>
      </c>
      <c r="K16" s="172">
        <v>24.136053324056853</v>
      </c>
      <c r="L16" s="172">
        <v>15.593599746734611</v>
      </c>
      <c r="M16" s="171">
        <v>12.755943538694693</v>
      </c>
      <c r="N16" s="173"/>
      <c r="O16" s="169">
        <f t="shared" si="0"/>
        <v>61.513892261419926</v>
      </c>
      <c r="P16" s="172">
        <f t="shared" si="1"/>
        <v>6.4559629910851601</v>
      </c>
      <c r="Q16" s="171">
        <f t="shared" si="2"/>
        <v>67.969855252505084</v>
      </c>
      <c r="R16" s="164"/>
      <c r="S16" s="169">
        <f t="shared" si="3"/>
        <v>93.565051305777828</v>
      </c>
      <c r="T16" s="174">
        <f t="shared" si="4"/>
        <v>0.37656687598035471</v>
      </c>
      <c r="U16" s="761"/>
      <c r="V16" s="760"/>
      <c r="W16" s="761"/>
      <c r="X16" s="761"/>
      <c r="Y16" s="761"/>
      <c r="Z16" s="761"/>
      <c r="AA16" s="761"/>
      <c r="AB16" s="761"/>
      <c r="AC16" s="761"/>
      <c r="AD16" s="761"/>
      <c r="AE16" s="761"/>
      <c r="AF16" s="761"/>
      <c r="AG16" s="761"/>
      <c r="AH16" s="761"/>
      <c r="AI16" s="761"/>
      <c r="AJ16" s="761"/>
      <c r="AK16" s="760"/>
    </row>
    <row r="17" spans="1:37" ht="15.75" customHeight="1">
      <c r="C17" s="466"/>
      <c r="D17" s="175"/>
      <c r="E17" s="176"/>
      <c r="F17" s="176"/>
      <c r="G17" s="176"/>
      <c r="H17" s="177"/>
      <c r="I17" s="176"/>
      <c r="J17" s="176"/>
      <c r="K17" s="176"/>
      <c r="L17" s="176"/>
      <c r="M17" s="177"/>
      <c r="N17" s="160"/>
      <c r="O17" s="175"/>
      <c r="P17" s="178"/>
      <c r="Q17" s="179"/>
      <c r="R17" s="164"/>
      <c r="S17" s="175"/>
      <c r="T17" s="180"/>
      <c r="U17" s="759"/>
      <c r="V17" s="760"/>
      <c r="W17" s="759"/>
      <c r="X17" s="759"/>
      <c r="Y17" s="759"/>
      <c r="Z17" s="759"/>
      <c r="AA17" s="759"/>
      <c r="AB17" s="759"/>
      <c r="AC17" s="759"/>
      <c r="AD17" s="759"/>
      <c r="AE17" s="759"/>
      <c r="AF17" s="759"/>
      <c r="AG17" s="759"/>
      <c r="AH17" s="759"/>
      <c r="AI17" s="759"/>
      <c r="AJ17" s="759"/>
      <c r="AK17" s="760"/>
    </row>
    <row r="18" spans="1:37" ht="15.75" customHeight="1">
      <c r="C18" s="466" t="s">
        <v>277</v>
      </c>
      <c r="D18" s="166"/>
      <c r="E18" s="167"/>
      <c r="F18" s="167"/>
      <c r="G18" s="157">
        <v>0</v>
      </c>
      <c r="H18" s="158">
        <v>0</v>
      </c>
      <c r="I18" s="157">
        <v>0</v>
      </c>
      <c r="J18" s="159">
        <v>0</v>
      </c>
      <c r="K18" s="159">
        <v>0</v>
      </c>
      <c r="L18" s="159">
        <v>0</v>
      </c>
      <c r="M18" s="158">
        <v>0</v>
      </c>
      <c r="N18" s="168"/>
      <c r="O18" s="161">
        <f>SUM(D18:G18)</f>
        <v>0</v>
      </c>
      <c r="P18" s="162">
        <f>H18</f>
        <v>0</v>
      </c>
      <c r="Q18" s="163">
        <f t="shared" si="2"/>
        <v>0</v>
      </c>
      <c r="R18" s="164"/>
      <c r="S18" s="161">
        <f>SUM(I18:M18)</f>
        <v>0</v>
      </c>
      <c r="T18" s="165" t="str">
        <f>IF(Q18&lt;&gt;0,(S18-Q18)/Q18,"0")</f>
        <v>0</v>
      </c>
      <c r="U18" s="759"/>
      <c r="V18" s="760"/>
      <c r="W18" s="759"/>
      <c r="X18" s="759"/>
      <c r="Y18" s="759"/>
      <c r="Z18" s="759"/>
      <c r="AA18" s="759"/>
      <c r="AB18" s="759"/>
      <c r="AC18" s="759"/>
      <c r="AD18" s="759"/>
      <c r="AE18" s="759"/>
      <c r="AF18" s="759"/>
      <c r="AG18" s="759"/>
      <c r="AH18" s="759"/>
      <c r="AI18" s="759"/>
      <c r="AJ18" s="759"/>
      <c r="AK18" s="760"/>
    </row>
    <row r="19" spans="1:37" ht="15.75" customHeight="1" thickBot="1">
      <c r="C19" s="468" t="s">
        <v>278</v>
      </c>
      <c r="D19" s="181"/>
      <c r="E19" s="182"/>
      <c r="F19" s="182"/>
      <c r="G19" s="183">
        <v>0</v>
      </c>
      <c r="H19" s="184">
        <v>0</v>
      </c>
      <c r="I19" s="183">
        <v>0</v>
      </c>
      <c r="J19" s="185">
        <v>0</v>
      </c>
      <c r="K19" s="185">
        <v>0</v>
      </c>
      <c r="L19" s="185">
        <v>0</v>
      </c>
      <c r="M19" s="184">
        <v>0</v>
      </c>
      <c r="N19" s="168"/>
      <c r="O19" s="186">
        <f>SUM(D19:G19)</f>
        <v>0</v>
      </c>
      <c r="P19" s="187">
        <f>H19</f>
        <v>0</v>
      </c>
      <c r="Q19" s="188">
        <f t="shared" si="2"/>
        <v>0</v>
      </c>
      <c r="R19" s="164"/>
      <c r="S19" s="186">
        <f>SUM(I19:M19)</f>
        <v>0</v>
      </c>
      <c r="T19" s="189" t="str">
        <f>IF(Q19&lt;&gt;0,(S19-Q19)/Q19,"0")</f>
        <v>0</v>
      </c>
      <c r="U19" s="759"/>
      <c r="V19" s="760"/>
      <c r="W19" s="759"/>
      <c r="X19" s="759"/>
      <c r="Y19" s="759"/>
      <c r="Z19" s="759"/>
      <c r="AA19" s="759"/>
      <c r="AB19" s="759"/>
      <c r="AC19" s="759"/>
      <c r="AD19" s="759"/>
      <c r="AE19" s="759"/>
      <c r="AF19" s="759"/>
      <c r="AG19" s="759"/>
      <c r="AH19" s="759"/>
      <c r="AI19" s="759"/>
      <c r="AJ19" s="759"/>
      <c r="AK19" s="760"/>
    </row>
    <row r="20" spans="1:37">
      <c r="C20" s="760"/>
      <c r="D20" s="760"/>
      <c r="E20" s="760"/>
      <c r="F20" s="760"/>
      <c r="G20" s="760"/>
      <c r="H20" s="760"/>
      <c r="I20" s="760"/>
      <c r="J20" s="760"/>
      <c r="K20" s="760"/>
      <c r="L20" s="760"/>
      <c r="M20" s="760"/>
      <c r="N20" s="760"/>
      <c r="O20" s="760"/>
      <c r="P20" s="760"/>
      <c r="Q20" s="760"/>
      <c r="R20" s="760"/>
      <c r="S20" s="760"/>
      <c r="T20" s="760"/>
      <c r="U20" s="762"/>
      <c r="V20" s="760"/>
      <c r="W20" s="760"/>
      <c r="X20" s="760"/>
      <c r="Y20" s="760"/>
      <c r="Z20" s="760"/>
      <c r="AA20" s="760"/>
      <c r="AB20" s="760"/>
      <c r="AC20" s="760"/>
      <c r="AD20" s="760"/>
      <c r="AE20" s="760"/>
      <c r="AF20" s="760"/>
      <c r="AG20" s="760"/>
      <c r="AH20" s="760"/>
      <c r="AI20" s="760"/>
      <c r="AJ20" s="760"/>
      <c r="AK20" s="760"/>
    </row>
    <row r="21" spans="1:37" s="760" customFormat="1"/>
    <row r="22" spans="1:37" s="760" customFormat="1">
      <c r="B22" s="458" t="s">
        <v>373</v>
      </c>
    </row>
    <row r="23" spans="1:37" s="760" customFormat="1" ht="13.5" thickBot="1">
      <c r="A23" s="458"/>
      <c r="B23" s="458"/>
    </row>
    <row r="24" spans="1:37" s="760" customFormat="1" ht="27" customHeight="1">
      <c r="A24" s="458"/>
      <c r="B24" s="458"/>
      <c r="C24" s="1897" t="s">
        <v>374</v>
      </c>
      <c r="D24" s="446" t="s">
        <v>375</v>
      </c>
      <c r="E24" s="447"/>
      <c r="F24" s="447"/>
      <c r="G24" s="763"/>
      <c r="H24" s="446" t="s">
        <v>376</v>
      </c>
      <c r="I24" s="447"/>
      <c r="J24" s="447"/>
      <c r="K24" s="763"/>
      <c r="L24" s="764" t="s">
        <v>375</v>
      </c>
      <c r="M24" s="765" t="s">
        <v>376</v>
      </c>
    </row>
    <row r="25" spans="1:37" s="760" customFormat="1">
      <c r="A25" s="458"/>
      <c r="B25" s="458"/>
      <c r="C25" s="1898"/>
      <c r="D25" s="766" t="s">
        <v>377</v>
      </c>
      <c r="E25" s="767" t="s">
        <v>378</v>
      </c>
      <c r="F25" s="767" t="s">
        <v>379</v>
      </c>
      <c r="G25" s="768" t="s">
        <v>380</v>
      </c>
      <c r="H25" s="766" t="s">
        <v>377</v>
      </c>
      <c r="I25" s="767" t="s">
        <v>378</v>
      </c>
      <c r="J25" s="767" t="s">
        <v>379</v>
      </c>
      <c r="K25" s="768" t="s">
        <v>380</v>
      </c>
      <c r="L25" s="769" t="s">
        <v>220</v>
      </c>
      <c r="M25" s="770" t="s">
        <v>220</v>
      </c>
    </row>
    <row r="26" spans="1:37" s="760" customFormat="1" ht="15.75" customHeight="1">
      <c r="A26" s="458"/>
      <c r="B26" s="458"/>
      <c r="C26" s="771" t="s">
        <v>381</v>
      </c>
      <c r="D26" s="300"/>
      <c r="E26" s="301"/>
      <c r="F26" s="301"/>
      <c r="G26" s="302"/>
      <c r="H26" s="300"/>
      <c r="I26" s="301"/>
      <c r="J26" s="301"/>
      <c r="K26" s="302"/>
      <c r="L26" s="772">
        <f>SUM(D26:G26)</f>
        <v>0</v>
      </c>
      <c r="M26" s="773">
        <f>SUM(H26:K26)</f>
        <v>0</v>
      </c>
    </row>
    <row r="27" spans="1:37" s="760" customFormat="1" ht="15.75" customHeight="1">
      <c r="A27" s="458"/>
      <c r="B27" s="458"/>
      <c r="C27" s="774" t="s">
        <v>382</v>
      </c>
      <c r="D27" s="300"/>
      <c r="E27" s="301"/>
      <c r="F27" s="301"/>
      <c r="G27" s="302"/>
      <c r="H27" s="300"/>
      <c r="I27" s="301"/>
      <c r="J27" s="301"/>
      <c r="K27" s="302"/>
      <c r="L27" s="772">
        <f>SUM(D27:G27)</f>
        <v>0</v>
      </c>
      <c r="M27" s="773">
        <f>SUM(H27:K27)</f>
        <v>0</v>
      </c>
    </row>
    <row r="28" spans="1:37" s="760" customFormat="1" ht="15.75" customHeight="1">
      <c r="A28" s="458"/>
      <c r="B28" s="458"/>
      <c r="C28" s="774" t="s">
        <v>383</v>
      </c>
      <c r="D28" s="300"/>
      <c r="E28" s="301"/>
      <c r="F28" s="301"/>
      <c r="G28" s="302"/>
      <c r="H28" s="300"/>
      <c r="I28" s="301"/>
      <c r="J28" s="301"/>
      <c r="K28" s="302"/>
      <c r="L28" s="772">
        <f>SUM(D28:G28)</f>
        <v>0</v>
      </c>
      <c r="M28" s="773">
        <f>SUM(H28:K28)</f>
        <v>0</v>
      </c>
    </row>
    <row r="29" spans="1:37" s="760" customFormat="1" ht="15.75" customHeight="1" thickBot="1">
      <c r="A29" s="458"/>
      <c r="B29" s="458"/>
      <c r="C29" s="775" t="s">
        <v>384</v>
      </c>
      <c r="D29" s="776" t="str">
        <f>IF(D27,D27/D28,"-")</f>
        <v>-</v>
      </c>
      <c r="E29" s="777" t="str">
        <f t="shared" ref="E29:M29" si="5">IF(E27,E27/E28,"-")</f>
        <v>-</v>
      </c>
      <c r="F29" s="777" t="str">
        <f t="shared" si="5"/>
        <v>-</v>
      </c>
      <c r="G29" s="778" t="str">
        <f t="shared" si="5"/>
        <v>-</v>
      </c>
      <c r="H29" s="776" t="str">
        <f t="shared" si="5"/>
        <v>-</v>
      </c>
      <c r="I29" s="777" t="str">
        <f t="shared" si="5"/>
        <v>-</v>
      </c>
      <c r="J29" s="777" t="str">
        <f t="shared" si="5"/>
        <v>-</v>
      </c>
      <c r="K29" s="778" t="str">
        <f t="shared" si="5"/>
        <v>-</v>
      </c>
      <c r="L29" s="779" t="str">
        <f t="shared" si="5"/>
        <v>-</v>
      </c>
      <c r="M29" s="780" t="str">
        <f t="shared" si="5"/>
        <v>-</v>
      </c>
    </row>
    <row r="30" spans="1:37" s="760" customFormat="1">
      <c r="A30" s="458"/>
      <c r="B30" s="458"/>
      <c r="C30" s="230"/>
      <c r="D30" s="781"/>
      <c r="E30" s="781"/>
      <c r="F30" s="781"/>
      <c r="G30" s="781"/>
    </row>
    <row r="31" spans="1:37" s="760" customFormat="1" ht="13.5" thickBot="1">
      <c r="A31" s="458"/>
      <c r="B31" s="458"/>
      <c r="C31" s="230"/>
      <c r="D31" s="781"/>
      <c r="E31" s="781"/>
      <c r="F31" s="781"/>
      <c r="G31" s="781"/>
    </row>
    <row r="32" spans="1:37" s="760" customFormat="1" ht="39" customHeight="1">
      <c r="A32" s="458"/>
      <c r="B32" s="458"/>
      <c r="C32" s="1907" t="s">
        <v>385</v>
      </c>
      <c r="D32" s="446" t="s">
        <v>375</v>
      </c>
      <c r="E32" s="447"/>
      <c r="F32" s="447"/>
      <c r="G32" s="763"/>
      <c r="H32" s="446" t="s">
        <v>376</v>
      </c>
      <c r="I32" s="447"/>
      <c r="J32" s="447"/>
      <c r="K32" s="763"/>
      <c r="L32" s="764" t="s">
        <v>375</v>
      </c>
      <c r="M32" s="765" t="s">
        <v>376</v>
      </c>
    </row>
    <row r="33" spans="1:37" s="760" customFormat="1" ht="15.75" customHeight="1">
      <c r="A33" s="458"/>
      <c r="B33" s="458"/>
      <c r="C33" s="1908"/>
      <c r="D33" s="766" t="s">
        <v>377</v>
      </c>
      <c r="E33" s="767" t="s">
        <v>378</v>
      </c>
      <c r="F33" s="767" t="s">
        <v>379</v>
      </c>
      <c r="G33" s="768" t="s">
        <v>380</v>
      </c>
      <c r="H33" s="766" t="s">
        <v>377</v>
      </c>
      <c r="I33" s="767" t="s">
        <v>378</v>
      </c>
      <c r="J33" s="767" t="s">
        <v>379</v>
      </c>
      <c r="K33" s="768" t="s">
        <v>380</v>
      </c>
      <c r="L33" s="769" t="s">
        <v>220</v>
      </c>
      <c r="M33" s="770" t="s">
        <v>220</v>
      </c>
    </row>
    <row r="34" spans="1:37" s="760" customFormat="1" ht="25.5">
      <c r="A34" s="458"/>
      <c r="B34" s="458"/>
      <c r="C34" s="782" t="s">
        <v>386</v>
      </c>
      <c r="D34" s="300"/>
      <c r="E34" s="301"/>
      <c r="F34" s="301"/>
      <c r="G34" s="302"/>
      <c r="H34" s="300"/>
      <c r="I34" s="301"/>
      <c r="J34" s="301"/>
      <c r="K34" s="302"/>
      <c r="L34" s="772">
        <f t="shared" ref="L34:L39" si="6">SUM(D34:G34)</f>
        <v>0</v>
      </c>
      <c r="M34" s="773">
        <f t="shared" ref="M34:M39" si="7">SUM(H34:K34)</f>
        <v>0</v>
      </c>
    </row>
    <row r="35" spans="1:37" s="760" customFormat="1" ht="25.5">
      <c r="A35" s="458"/>
      <c r="B35" s="458"/>
      <c r="C35" s="782" t="s">
        <v>387</v>
      </c>
      <c r="D35" s="300"/>
      <c r="E35" s="301"/>
      <c r="F35" s="301"/>
      <c r="G35" s="302"/>
      <c r="H35" s="300"/>
      <c r="I35" s="301"/>
      <c r="J35" s="301"/>
      <c r="K35" s="302"/>
      <c r="L35" s="772">
        <f t="shared" si="6"/>
        <v>0</v>
      </c>
      <c r="M35" s="773">
        <f t="shared" si="7"/>
        <v>0</v>
      </c>
    </row>
    <row r="36" spans="1:37" s="760" customFormat="1" ht="25.5">
      <c r="A36" s="458"/>
      <c r="B36" s="458"/>
      <c r="C36" s="782" t="s">
        <v>388</v>
      </c>
      <c r="D36" s="300"/>
      <c r="E36" s="301"/>
      <c r="F36" s="301"/>
      <c r="G36" s="302"/>
      <c r="H36" s="300"/>
      <c r="I36" s="301"/>
      <c r="J36" s="301"/>
      <c r="K36" s="302"/>
      <c r="L36" s="772">
        <f t="shared" si="6"/>
        <v>0</v>
      </c>
      <c r="M36" s="773">
        <f t="shared" si="7"/>
        <v>0</v>
      </c>
    </row>
    <row r="37" spans="1:37" s="760" customFormat="1" ht="38.25">
      <c r="A37" s="458"/>
      <c r="B37" s="458"/>
      <c r="C37" s="782" t="s">
        <v>389</v>
      </c>
      <c r="D37" s="783"/>
      <c r="E37" s="784"/>
      <c r="F37" s="784"/>
      <c r="G37" s="785"/>
      <c r="H37" s="783"/>
      <c r="I37" s="784"/>
      <c r="J37" s="784"/>
      <c r="K37" s="785"/>
      <c r="L37" s="786" t="str">
        <f>IF(L35,L35/L36,"-")</f>
        <v>-</v>
      </c>
      <c r="M37" s="787" t="str">
        <f>IF(M35,M35/M36,"-")</f>
        <v>-</v>
      </c>
    </row>
    <row r="38" spans="1:37" s="760" customFormat="1" ht="25.5">
      <c r="A38" s="458"/>
      <c r="B38" s="458"/>
      <c r="C38" s="782" t="s">
        <v>390</v>
      </c>
      <c r="D38" s="300"/>
      <c r="E38" s="301"/>
      <c r="F38" s="301"/>
      <c r="G38" s="302"/>
      <c r="H38" s="300"/>
      <c r="I38" s="301"/>
      <c r="J38" s="301"/>
      <c r="K38" s="302"/>
      <c r="L38" s="772">
        <f t="shared" si="6"/>
        <v>0</v>
      </c>
      <c r="M38" s="773">
        <f t="shared" si="7"/>
        <v>0</v>
      </c>
    </row>
    <row r="39" spans="1:37" s="760" customFormat="1" ht="26.25" thickBot="1">
      <c r="A39" s="458"/>
      <c r="B39" s="458"/>
      <c r="C39" s="788" t="s">
        <v>391</v>
      </c>
      <c r="D39" s="308"/>
      <c r="E39" s="309"/>
      <c r="F39" s="309"/>
      <c r="G39" s="789"/>
      <c r="H39" s="308"/>
      <c r="I39" s="309"/>
      <c r="J39" s="309"/>
      <c r="K39" s="789"/>
      <c r="L39" s="291">
        <f t="shared" si="6"/>
        <v>0</v>
      </c>
      <c r="M39" s="790">
        <f t="shared" si="7"/>
        <v>0</v>
      </c>
    </row>
    <row r="40" spans="1:37">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row>
    <row r="41" spans="1:37" ht="15.75" customHeight="1">
      <c r="B41" s="458" t="s">
        <v>392</v>
      </c>
      <c r="C41" s="760"/>
      <c r="D41" s="760"/>
      <c r="E41" s="760"/>
      <c r="F41" s="760"/>
      <c r="G41" s="760"/>
      <c r="H41" s="760"/>
      <c r="I41" s="760"/>
      <c r="J41" s="760"/>
      <c r="K41" s="760"/>
      <c r="L41" s="760"/>
      <c r="M41" s="760"/>
      <c r="N41" s="760"/>
      <c r="O41" s="760"/>
      <c r="P41" s="760"/>
      <c r="Q41" s="760"/>
      <c r="R41" s="760"/>
      <c r="S41" s="760"/>
      <c r="T41" s="760"/>
      <c r="U41" s="760"/>
      <c r="V41" s="760"/>
      <c r="W41" s="760"/>
      <c r="X41" s="760"/>
      <c r="Y41" s="760"/>
      <c r="Z41" s="760"/>
      <c r="AA41" s="760"/>
      <c r="AB41" s="760"/>
      <c r="AC41" s="760"/>
      <c r="AD41" s="760"/>
      <c r="AE41" s="760"/>
      <c r="AF41" s="760"/>
      <c r="AG41" s="760"/>
      <c r="AH41" s="760"/>
      <c r="AI41" s="760"/>
      <c r="AJ41" s="760"/>
      <c r="AK41" s="760"/>
    </row>
    <row r="42" spans="1:37" ht="13.5" thickBot="1">
      <c r="C42" s="760"/>
      <c r="D42" s="760"/>
      <c r="E42" s="760"/>
      <c r="F42" s="760"/>
      <c r="G42" s="760"/>
      <c r="H42" s="760"/>
      <c r="I42" s="760"/>
      <c r="J42" s="760"/>
      <c r="K42" s="760"/>
      <c r="L42" s="760"/>
      <c r="M42" s="760"/>
      <c r="N42" s="760"/>
      <c r="O42" s="760"/>
      <c r="P42" s="760"/>
      <c r="Q42" s="760"/>
      <c r="R42" s="760"/>
      <c r="S42" s="760"/>
      <c r="T42" s="760"/>
      <c r="U42" s="760"/>
      <c r="V42" s="760"/>
      <c r="W42" s="760"/>
      <c r="X42" s="760"/>
      <c r="Y42" s="760"/>
      <c r="Z42" s="760"/>
      <c r="AA42" s="760"/>
      <c r="AB42" s="760"/>
      <c r="AC42" s="760"/>
      <c r="AD42" s="760"/>
      <c r="AE42" s="760"/>
      <c r="AF42" s="760"/>
      <c r="AG42" s="760"/>
      <c r="AH42" s="760"/>
      <c r="AI42" s="760"/>
      <c r="AJ42" s="760"/>
      <c r="AK42" s="760"/>
    </row>
    <row r="43" spans="1:37" ht="13.5" thickBot="1">
      <c r="B43" s="791"/>
      <c r="C43" s="1909" t="s">
        <v>393</v>
      </c>
      <c r="D43" s="1910"/>
      <c r="E43" s="1910"/>
      <c r="F43" s="1910"/>
      <c r="G43" s="1910"/>
      <c r="H43" s="1910"/>
      <c r="I43" s="1910"/>
      <c r="J43" s="1910"/>
      <c r="K43" s="1911"/>
      <c r="L43" s="1904" t="s">
        <v>394</v>
      </c>
      <c r="M43" s="1912"/>
      <c r="N43" s="1912"/>
      <c r="O43" s="1912"/>
      <c r="P43" s="1913"/>
      <c r="Q43" s="1904" t="s">
        <v>395</v>
      </c>
      <c r="R43" s="1912"/>
      <c r="S43" s="1912"/>
      <c r="T43" s="1912"/>
      <c r="U43" s="1913"/>
      <c r="V43" s="1894" t="s">
        <v>396</v>
      </c>
      <c r="W43" s="1895"/>
      <c r="X43" s="1895"/>
      <c r="Y43" s="1895"/>
      <c r="Z43" s="1895"/>
      <c r="AA43" s="1895"/>
      <c r="AB43" s="1895"/>
      <c r="AC43" s="1895"/>
      <c r="AD43" s="1895"/>
      <c r="AE43" s="1895"/>
      <c r="AF43" s="1895"/>
      <c r="AG43" s="1895"/>
      <c r="AH43" s="1895"/>
      <c r="AI43" s="1896"/>
      <c r="AJ43" s="1897" t="s">
        <v>397</v>
      </c>
      <c r="AK43" s="792" t="s">
        <v>398</v>
      </c>
    </row>
    <row r="44" spans="1:37" ht="78.75" customHeight="1">
      <c r="B44" s="793"/>
      <c r="C44" s="794" t="s">
        <v>399</v>
      </c>
      <c r="D44" s="795" t="s">
        <v>400</v>
      </c>
      <c r="E44" s="795" t="s">
        <v>401</v>
      </c>
      <c r="F44" s="795" t="s">
        <v>402</v>
      </c>
      <c r="G44" s="795" t="s">
        <v>403</v>
      </c>
      <c r="H44" s="795" t="s">
        <v>404</v>
      </c>
      <c r="I44" s="795" t="s">
        <v>405</v>
      </c>
      <c r="J44" s="795" t="s">
        <v>406</v>
      </c>
      <c r="K44" s="796" t="s">
        <v>407</v>
      </c>
      <c r="L44" s="741" t="s">
        <v>99</v>
      </c>
      <c r="M44" s="251" t="s">
        <v>100</v>
      </c>
      <c r="N44" s="251" t="s">
        <v>101</v>
      </c>
      <c r="O44" s="251" t="s">
        <v>102</v>
      </c>
      <c r="P44" s="252" t="s">
        <v>64</v>
      </c>
      <c r="Q44" s="250" t="s">
        <v>213</v>
      </c>
      <c r="R44" s="251" t="s">
        <v>214</v>
      </c>
      <c r="S44" s="251" t="s">
        <v>215</v>
      </c>
      <c r="T44" s="251" t="s">
        <v>216</v>
      </c>
      <c r="U44" s="252" t="s">
        <v>217</v>
      </c>
      <c r="V44" s="1899" t="s">
        <v>408</v>
      </c>
      <c r="W44" s="1900"/>
      <c r="X44" s="1900"/>
      <c r="Y44" s="1900"/>
      <c r="Z44" s="1900"/>
      <c r="AA44" s="1900"/>
      <c r="AB44" s="1900"/>
      <c r="AC44" s="1900"/>
      <c r="AD44" s="1900"/>
      <c r="AE44" s="1900"/>
      <c r="AF44" s="451" t="s">
        <v>409</v>
      </c>
      <c r="AG44" s="451" t="s">
        <v>410</v>
      </c>
      <c r="AH44" s="451" t="s">
        <v>411</v>
      </c>
      <c r="AI44" s="451" t="s">
        <v>412</v>
      </c>
      <c r="AJ44" s="1898"/>
      <c r="AK44" s="797" t="s">
        <v>413</v>
      </c>
    </row>
    <row r="45" spans="1:37" ht="15.75" customHeight="1" thickBot="1">
      <c r="B45" s="798"/>
      <c r="C45" s="742" t="s">
        <v>414</v>
      </c>
      <c r="D45" s="799" t="s">
        <v>415</v>
      </c>
      <c r="E45" s="799" t="s">
        <v>415</v>
      </c>
      <c r="F45" s="743" t="s">
        <v>416</v>
      </c>
      <c r="G45" s="800" t="s">
        <v>417</v>
      </c>
      <c r="H45" s="800" t="s">
        <v>417</v>
      </c>
      <c r="I45" s="743" t="s">
        <v>418</v>
      </c>
      <c r="J45" s="743" t="s">
        <v>366</v>
      </c>
      <c r="K45" s="744" t="s">
        <v>366</v>
      </c>
      <c r="L45" s="749" t="s">
        <v>366</v>
      </c>
      <c r="M45" s="747" t="s">
        <v>366</v>
      </c>
      <c r="N45" s="747" t="s">
        <v>366</v>
      </c>
      <c r="O45" s="747" t="s">
        <v>366</v>
      </c>
      <c r="P45" s="748" t="s">
        <v>366</v>
      </c>
      <c r="Q45" s="746" t="s">
        <v>366</v>
      </c>
      <c r="R45" s="747" t="s">
        <v>366</v>
      </c>
      <c r="S45" s="747" t="s">
        <v>366</v>
      </c>
      <c r="T45" s="747" t="s">
        <v>366</v>
      </c>
      <c r="U45" s="748" t="s">
        <v>366</v>
      </c>
      <c r="V45" s="801" t="s">
        <v>99</v>
      </c>
      <c r="W45" s="802" t="s">
        <v>100</v>
      </c>
      <c r="X45" s="802" t="s">
        <v>101</v>
      </c>
      <c r="Y45" s="802" t="s">
        <v>102</v>
      </c>
      <c r="Z45" s="802" t="s">
        <v>64</v>
      </c>
      <c r="AA45" s="802" t="s">
        <v>213</v>
      </c>
      <c r="AB45" s="802" t="s">
        <v>214</v>
      </c>
      <c r="AC45" s="802" t="s">
        <v>215</v>
      </c>
      <c r="AD45" s="802" t="s">
        <v>216</v>
      </c>
      <c r="AE45" s="803" t="s">
        <v>217</v>
      </c>
      <c r="AF45" s="804" t="s">
        <v>418</v>
      </c>
      <c r="AG45" s="805" t="s">
        <v>418</v>
      </c>
      <c r="AH45" s="805" t="s">
        <v>418</v>
      </c>
      <c r="AI45" s="805" t="s">
        <v>419</v>
      </c>
      <c r="AJ45" s="806" t="s">
        <v>420</v>
      </c>
      <c r="AK45" s="807" t="s">
        <v>421</v>
      </c>
    </row>
    <row r="46" spans="1:37" s="808" customFormat="1" ht="15.75" customHeight="1">
      <c r="B46" s="809">
        <v>1</v>
      </c>
      <c r="C46" s="190"/>
      <c r="D46" s="190" t="s">
        <v>1023</v>
      </c>
      <c r="E46" s="190" t="s">
        <v>1024</v>
      </c>
      <c r="F46" s="190" t="s">
        <v>1025</v>
      </c>
      <c r="G46" s="191" t="s">
        <v>1026</v>
      </c>
      <c r="H46" s="191">
        <v>0</v>
      </c>
      <c r="I46" s="191">
        <v>18</v>
      </c>
      <c r="J46" s="192">
        <v>2.9606972056959817</v>
      </c>
      <c r="K46" s="193">
        <v>2.8735451548678848</v>
      </c>
      <c r="L46" s="192">
        <v>0</v>
      </c>
      <c r="M46" s="194">
        <v>0</v>
      </c>
      <c r="N46" s="194">
        <v>0</v>
      </c>
      <c r="O46" s="194">
        <v>7.0000000000000001E-3</v>
      </c>
      <c r="P46" s="195">
        <v>2.4220872899983321E-2</v>
      </c>
      <c r="Q46" s="194">
        <v>0.45594925450680734</v>
      </c>
      <c r="R46" s="196">
        <v>0.7515045699447066</v>
      </c>
      <c r="S46" s="196">
        <v>1.3552063699120587</v>
      </c>
      <c r="T46" s="196">
        <v>0.31088496050431225</v>
      </c>
      <c r="U46" s="195">
        <v>0</v>
      </c>
      <c r="V46" s="197">
        <v>0</v>
      </c>
      <c r="W46" s="198">
        <v>0</v>
      </c>
      <c r="X46" s="198">
        <v>0</v>
      </c>
      <c r="Y46" s="198">
        <v>10.5</v>
      </c>
      <c r="Z46" s="199">
        <v>10.478999999999999</v>
      </c>
      <c r="AA46" s="197">
        <v>10.478999999999999</v>
      </c>
      <c r="AB46" s="198">
        <v>10.478999999999999</v>
      </c>
      <c r="AC46" s="198">
        <v>10.489478999999998</v>
      </c>
      <c r="AD46" s="198">
        <v>15.499968478999996</v>
      </c>
      <c r="AE46" s="199">
        <v>15.515468447478995</v>
      </c>
      <c r="AF46" s="194">
        <v>12</v>
      </c>
      <c r="AG46" s="196">
        <v>12</v>
      </c>
      <c r="AH46" s="196">
        <v>10.5</v>
      </c>
      <c r="AI46" s="200" t="s">
        <v>1027</v>
      </c>
      <c r="AJ46" s="201" t="s">
        <v>1028</v>
      </c>
      <c r="AK46" s="810"/>
    </row>
    <row r="47" spans="1:37" s="808" customFormat="1" ht="15.75" customHeight="1">
      <c r="B47" s="811">
        <v>2</v>
      </c>
      <c r="C47" s="190"/>
      <c r="D47" s="190" t="s">
        <v>1023</v>
      </c>
      <c r="E47" s="190" t="s">
        <v>1029</v>
      </c>
      <c r="F47" s="190" t="s">
        <v>1030</v>
      </c>
      <c r="G47" s="191" t="s">
        <v>1031</v>
      </c>
      <c r="H47" s="191">
        <v>0</v>
      </c>
      <c r="I47" s="191">
        <v>68.599999999999994</v>
      </c>
      <c r="J47" s="192">
        <v>6.2376706707541443</v>
      </c>
      <c r="K47" s="193">
        <v>6.0915535702733381</v>
      </c>
      <c r="L47" s="192">
        <v>0</v>
      </c>
      <c r="M47" s="194">
        <v>0</v>
      </c>
      <c r="N47" s="194">
        <v>0</v>
      </c>
      <c r="O47" s="194">
        <v>1.4999999999999999E-2</v>
      </c>
      <c r="P47" s="195">
        <v>0.10000876552251178</v>
      </c>
      <c r="Q47" s="194">
        <v>0.62714209727702119</v>
      </c>
      <c r="R47" s="196">
        <v>2.5737919827455396</v>
      </c>
      <c r="S47" s="196">
        <v>2.8373014891088766</v>
      </c>
      <c r="T47" s="196">
        <v>5.3318001141900516E-2</v>
      </c>
      <c r="U47" s="195">
        <v>0</v>
      </c>
      <c r="V47" s="192">
        <v>88.37</v>
      </c>
      <c r="W47" s="196">
        <v>76.3</v>
      </c>
      <c r="X47" s="196">
        <v>75.790000000000006</v>
      </c>
      <c r="Y47" s="196">
        <v>75.865790000000004</v>
      </c>
      <c r="Z47" s="195">
        <v>76.093387370000002</v>
      </c>
      <c r="AA47" s="192">
        <v>76.397760919480007</v>
      </c>
      <c r="AB47" s="196">
        <v>85.50894300683585</v>
      </c>
      <c r="AC47" s="196">
        <v>86.278523493897367</v>
      </c>
      <c r="AD47" s="196">
        <v>111.21386577582413</v>
      </c>
      <c r="AE47" s="195">
        <v>112.54843216513402</v>
      </c>
      <c r="AF47" s="194">
        <v>103.5</v>
      </c>
      <c r="AG47" s="196">
        <v>68.599999999999994</v>
      </c>
      <c r="AH47" s="196">
        <v>75.790000000000006</v>
      </c>
      <c r="AI47" s="200" t="s">
        <v>1027</v>
      </c>
      <c r="AJ47" s="201" t="s">
        <v>1028</v>
      </c>
      <c r="AK47" s="810"/>
    </row>
    <row r="48" spans="1:37" s="808" customFormat="1" ht="15.75" customHeight="1">
      <c r="B48" s="811">
        <v>3</v>
      </c>
      <c r="C48" s="190"/>
      <c r="D48" s="190" t="s">
        <v>1023</v>
      </c>
      <c r="E48" s="190">
        <v>0</v>
      </c>
      <c r="F48" s="190" t="s">
        <v>1032</v>
      </c>
      <c r="G48" s="191" t="s">
        <v>1031</v>
      </c>
      <c r="H48" s="191">
        <v>0</v>
      </c>
      <c r="I48" s="191">
        <v>64</v>
      </c>
      <c r="J48" s="192">
        <v>7.9227202970226598</v>
      </c>
      <c r="K48" s="193">
        <v>7.4543558007332127</v>
      </c>
      <c r="L48" s="192">
        <v>0</v>
      </c>
      <c r="M48" s="194">
        <v>0</v>
      </c>
      <c r="N48" s="194">
        <v>0</v>
      </c>
      <c r="O48" s="194">
        <v>0</v>
      </c>
      <c r="P48" s="195">
        <v>0</v>
      </c>
      <c r="Q48" s="194">
        <v>0</v>
      </c>
      <c r="R48" s="196">
        <v>0</v>
      </c>
      <c r="S48" s="196">
        <v>0</v>
      </c>
      <c r="T48" s="196">
        <v>3.2958727475100966</v>
      </c>
      <c r="U48" s="195">
        <v>4.1584830532231161</v>
      </c>
      <c r="V48" s="192">
        <v>0</v>
      </c>
      <c r="W48" s="196">
        <v>0</v>
      </c>
      <c r="X48" s="196">
        <v>0</v>
      </c>
      <c r="Y48" s="196">
        <v>125.5</v>
      </c>
      <c r="Z48" s="195">
        <v>125.87649999999999</v>
      </c>
      <c r="AA48" s="192">
        <v>126.38000599999999</v>
      </c>
      <c r="AB48" s="196">
        <v>127.39104604799999</v>
      </c>
      <c r="AC48" s="196">
        <v>128.53756546243198</v>
      </c>
      <c r="AD48" s="196">
        <v>130.08001624798118</v>
      </c>
      <c r="AE48" s="195">
        <v>131.64097644295694</v>
      </c>
      <c r="AF48" s="194">
        <v>194</v>
      </c>
      <c r="AG48" s="196">
        <v>116.6</v>
      </c>
      <c r="AH48" s="196">
        <v>125.5</v>
      </c>
      <c r="AI48" s="200" t="s">
        <v>1027</v>
      </c>
      <c r="AJ48" s="201" t="s">
        <v>1028</v>
      </c>
      <c r="AK48" s="810"/>
    </row>
    <row r="49" spans="2:41" s="808" customFormat="1" ht="15.75" customHeight="1">
      <c r="B49" s="811">
        <v>4</v>
      </c>
      <c r="C49" s="190"/>
      <c r="D49" s="190" t="s">
        <v>1023</v>
      </c>
      <c r="E49" s="190" t="s">
        <v>1029</v>
      </c>
      <c r="F49" s="190" t="s">
        <v>1030</v>
      </c>
      <c r="G49" s="191" t="s">
        <v>1031</v>
      </c>
      <c r="H49" s="191">
        <v>0</v>
      </c>
      <c r="I49" s="191">
        <v>19.5</v>
      </c>
      <c r="J49" s="192">
        <v>6.4792705911002564</v>
      </c>
      <c r="K49" s="193">
        <v>4.8322715766176429</v>
      </c>
      <c r="L49" s="192">
        <v>0</v>
      </c>
      <c r="M49" s="194">
        <v>0</v>
      </c>
      <c r="N49" s="194">
        <v>0</v>
      </c>
      <c r="O49" s="194">
        <v>8.8999999999999996E-2</v>
      </c>
      <c r="P49" s="195">
        <v>0.31643398466107242</v>
      </c>
      <c r="Q49" s="194">
        <v>1.6890462160447341</v>
      </c>
      <c r="R49" s="196">
        <v>1.968141554186551</v>
      </c>
      <c r="S49" s="196">
        <v>0.94950764770908569</v>
      </c>
      <c r="T49" s="196">
        <v>0.22557615867727143</v>
      </c>
      <c r="U49" s="195">
        <v>0</v>
      </c>
      <c r="V49" s="192">
        <v>61.76</v>
      </c>
      <c r="W49" s="196">
        <v>57.9</v>
      </c>
      <c r="X49" s="196">
        <v>61.98</v>
      </c>
      <c r="Y49" s="196">
        <v>61.949010000000001</v>
      </c>
      <c r="Z49" s="195">
        <v>62.010959009999993</v>
      </c>
      <c r="AA49" s="192">
        <v>62.196991887029988</v>
      </c>
      <c r="AB49" s="196">
        <v>62.570173838352169</v>
      </c>
      <c r="AC49" s="196">
        <v>63.133305402897335</v>
      </c>
      <c r="AD49" s="196">
        <v>73.701505151523406</v>
      </c>
      <c r="AE49" s="195">
        <v>74.364818697887102</v>
      </c>
      <c r="AF49" s="194">
        <v>68.5</v>
      </c>
      <c r="AG49" s="196">
        <v>58.5</v>
      </c>
      <c r="AH49" s="196">
        <v>62</v>
      </c>
      <c r="AI49" s="200" t="s">
        <v>1027</v>
      </c>
      <c r="AJ49" s="201" t="s">
        <v>1028</v>
      </c>
      <c r="AK49" s="810"/>
    </row>
    <row r="50" spans="2:41" s="808" customFormat="1" ht="15.75" customHeight="1">
      <c r="B50" s="811">
        <v>5</v>
      </c>
      <c r="C50" s="190"/>
      <c r="D50" s="190" t="s">
        <v>1023</v>
      </c>
      <c r="E50" s="190" t="s">
        <v>1029</v>
      </c>
      <c r="F50" s="190" t="s">
        <v>1033</v>
      </c>
      <c r="G50" s="191" t="s">
        <v>1031</v>
      </c>
      <c r="H50" s="191">
        <v>0</v>
      </c>
      <c r="I50" s="191">
        <v>117</v>
      </c>
      <c r="J50" s="192">
        <v>21.963629122373749</v>
      </c>
      <c r="K50" s="193">
        <v>19.56304238950402</v>
      </c>
      <c r="L50" s="192">
        <v>0</v>
      </c>
      <c r="M50" s="194">
        <v>0</v>
      </c>
      <c r="N50" s="194">
        <v>0</v>
      </c>
      <c r="O50" s="194">
        <v>1.27</v>
      </c>
      <c r="P50" s="195">
        <v>0.68756026296726847</v>
      </c>
      <c r="Q50" s="194">
        <v>5.0849359238677394</v>
      </c>
      <c r="R50" s="196">
        <v>8.004190685801607</v>
      </c>
      <c r="S50" s="196">
        <v>6.4739157798346731</v>
      </c>
      <c r="T50" s="196">
        <v>0</v>
      </c>
      <c r="U50" s="195">
        <v>0</v>
      </c>
      <c r="V50" s="192">
        <v>123.19</v>
      </c>
      <c r="W50" s="196">
        <v>113.1</v>
      </c>
      <c r="X50" s="196">
        <v>119.7</v>
      </c>
      <c r="Y50" s="196">
        <v>119.64015000000001</v>
      </c>
      <c r="Z50" s="195">
        <v>119.75979014999999</v>
      </c>
      <c r="AA50" s="192">
        <v>119.939429835225</v>
      </c>
      <c r="AB50" s="196">
        <v>120.11933897997784</v>
      </c>
      <c r="AC50" s="196">
        <v>120.35957765793779</v>
      </c>
      <c r="AD50" s="196">
        <v>80.720656390911586</v>
      </c>
      <c r="AE50" s="195">
        <v>81.043539016475236</v>
      </c>
      <c r="AF50" s="194">
        <v>72</v>
      </c>
      <c r="AG50" s="196">
        <v>72</v>
      </c>
      <c r="AH50" s="196">
        <v>119.7</v>
      </c>
      <c r="AI50" s="200" t="s">
        <v>1027</v>
      </c>
      <c r="AJ50" s="201" t="s">
        <v>1028</v>
      </c>
      <c r="AK50" s="810"/>
    </row>
    <row r="51" spans="2:41" s="808" customFormat="1" ht="15.75" customHeight="1">
      <c r="B51" s="811">
        <v>6</v>
      </c>
      <c r="C51" s="190"/>
      <c r="D51" s="190" t="s">
        <v>1023</v>
      </c>
      <c r="E51" s="190" t="s">
        <v>1029</v>
      </c>
      <c r="F51" s="190" t="s">
        <v>1030</v>
      </c>
      <c r="G51" s="191" t="s">
        <v>1026</v>
      </c>
      <c r="H51" s="191">
        <v>0</v>
      </c>
      <c r="I51" s="191">
        <v>89</v>
      </c>
      <c r="J51" s="192">
        <v>2.6602347593019084</v>
      </c>
      <c r="K51" s="193">
        <v>2.548166321271919</v>
      </c>
      <c r="L51" s="192">
        <v>0</v>
      </c>
      <c r="M51" s="194">
        <v>0</v>
      </c>
      <c r="N51" s="194">
        <v>0</v>
      </c>
      <c r="O51" s="194">
        <v>0</v>
      </c>
      <c r="P51" s="195">
        <v>0</v>
      </c>
      <c r="Q51" s="194">
        <v>0</v>
      </c>
      <c r="R51" s="196">
        <v>0</v>
      </c>
      <c r="S51" s="196">
        <v>1.2947831559669347</v>
      </c>
      <c r="T51" s="196">
        <v>1.2533831653049843</v>
      </c>
      <c r="U51" s="195">
        <v>0</v>
      </c>
      <c r="V51" s="192">
        <v>60.09</v>
      </c>
      <c r="W51" s="196">
        <v>69.849999999999994</v>
      </c>
      <c r="X51" s="196">
        <v>70.78</v>
      </c>
      <c r="Y51" s="196">
        <v>70.85078</v>
      </c>
      <c r="Z51" s="195">
        <v>80.063332339999988</v>
      </c>
      <c r="AA51" s="192">
        <v>88.503585669359992</v>
      </c>
      <c r="AB51" s="196">
        <v>97.331614354714873</v>
      </c>
      <c r="AC51" s="196">
        <v>106.3275988839073</v>
      </c>
      <c r="AD51" s="196">
        <v>115.72353007051419</v>
      </c>
      <c r="AE51" s="195">
        <v>125.23221243136037</v>
      </c>
      <c r="AF51" s="194">
        <v>112.5</v>
      </c>
      <c r="AG51" s="196">
        <v>112.5</v>
      </c>
      <c r="AH51" s="196">
        <v>70.78</v>
      </c>
      <c r="AI51" s="200" t="s">
        <v>1027</v>
      </c>
      <c r="AJ51" s="201" t="s">
        <v>1028</v>
      </c>
      <c r="AK51" s="810"/>
    </row>
    <row r="52" spans="2:41" s="808" customFormat="1" ht="15.75" customHeight="1">
      <c r="B52" s="811">
        <v>7</v>
      </c>
      <c r="C52" s="190"/>
      <c r="D52" s="190" t="s">
        <v>1023</v>
      </c>
      <c r="E52" s="190" t="s">
        <v>1029</v>
      </c>
      <c r="F52" s="190" t="s">
        <v>1030</v>
      </c>
      <c r="G52" s="191" t="s">
        <v>1034</v>
      </c>
      <c r="H52" s="191">
        <v>0</v>
      </c>
      <c r="I52" s="191">
        <v>0</v>
      </c>
      <c r="J52" s="192">
        <v>2.0004473404658012</v>
      </c>
      <c r="K52" s="193">
        <v>1.8742073683478071</v>
      </c>
      <c r="L52" s="192">
        <v>0</v>
      </c>
      <c r="M52" s="194">
        <v>0</v>
      </c>
      <c r="N52" s="194">
        <v>0</v>
      </c>
      <c r="O52" s="194">
        <v>0</v>
      </c>
      <c r="P52" s="195">
        <v>0</v>
      </c>
      <c r="Q52" s="194">
        <v>0</v>
      </c>
      <c r="R52" s="196">
        <v>0</v>
      </c>
      <c r="S52" s="196">
        <v>0.12947831559669348</v>
      </c>
      <c r="T52" s="196">
        <v>1.7447290527511137</v>
      </c>
      <c r="U52" s="195">
        <v>0</v>
      </c>
      <c r="V52" s="192">
        <v>105.54</v>
      </c>
      <c r="W52" s="196">
        <v>95.84</v>
      </c>
      <c r="X52" s="196">
        <v>87.39</v>
      </c>
      <c r="Y52" s="196">
        <v>87.477389999999986</v>
      </c>
      <c r="Z52" s="195">
        <v>87.739822169999982</v>
      </c>
      <c r="AA52" s="192">
        <v>90.370781458679986</v>
      </c>
      <c r="AB52" s="196">
        <v>93.373747710349434</v>
      </c>
      <c r="AC52" s="196">
        <v>96.494111439742568</v>
      </c>
      <c r="AD52" s="196">
        <v>99.932040777019481</v>
      </c>
      <c r="AE52" s="195">
        <v>103.41122526634372</v>
      </c>
      <c r="AF52" s="194">
        <v>101.3</v>
      </c>
      <c r="AG52" s="196">
        <v>101.3</v>
      </c>
      <c r="AH52" s="196">
        <v>87.39</v>
      </c>
      <c r="AI52" s="200" t="s">
        <v>1027</v>
      </c>
      <c r="AJ52" s="201" t="s">
        <v>1028</v>
      </c>
      <c r="AK52" s="810"/>
      <c r="AO52" s="808" t="s">
        <v>67</v>
      </c>
    </row>
    <row r="53" spans="2:41" s="808" customFormat="1" ht="15.75" customHeight="1">
      <c r="B53" s="811">
        <v>8</v>
      </c>
      <c r="C53" s="190"/>
      <c r="D53" s="190" t="s">
        <v>1023</v>
      </c>
      <c r="E53" s="190" t="s">
        <v>1029</v>
      </c>
      <c r="F53" s="190" t="s">
        <v>1030</v>
      </c>
      <c r="G53" s="191">
        <v>2013</v>
      </c>
      <c r="H53" s="191">
        <v>0</v>
      </c>
      <c r="I53" s="191">
        <v>0</v>
      </c>
      <c r="J53" s="192">
        <v>2.5266958942378759</v>
      </c>
      <c r="K53" s="193">
        <v>2.5054521013739364</v>
      </c>
      <c r="L53" s="192">
        <v>0</v>
      </c>
      <c r="M53" s="194">
        <v>0</v>
      </c>
      <c r="N53" s="194">
        <v>0</v>
      </c>
      <c r="O53" s="194">
        <v>0</v>
      </c>
      <c r="P53" s="195">
        <v>0</v>
      </c>
      <c r="Q53" s="194">
        <v>0</v>
      </c>
      <c r="R53" s="196">
        <v>0.77907456008468989</v>
      </c>
      <c r="S53" s="196">
        <v>1.7263775412892466</v>
      </c>
      <c r="T53" s="196">
        <v>0</v>
      </c>
      <c r="U53" s="195">
        <v>0</v>
      </c>
      <c r="V53" s="192">
        <v>101.4</v>
      </c>
      <c r="W53" s="196">
        <v>104.9</v>
      </c>
      <c r="X53" s="196">
        <v>105.4</v>
      </c>
      <c r="Y53" s="196">
        <v>105.50539999999999</v>
      </c>
      <c r="Z53" s="195">
        <v>111.82191619999999</v>
      </c>
      <c r="AA53" s="192">
        <v>113.26920386479999</v>
      </c>
      <c r="AB53" s="196">
        <v>115.17535749571839</v>
      </c>
      <c r="AC53" s="196">
        <v>117.21193571317984</v>
      </c>
      <c r="AD53" s="196">
        <v>119.618478941738</v>
      </c>
      <c r="AE53" s="195">
        <v>122.05390068903885</v>
      </c>
      <c r="AF53" s="194">
        <v>117</v>
      </c>
      <c r="AG53" s="196">
        <v>117</v>
      </c>
      <c r="AH53" s="196">
        <v>105.4</v>
      </c>
      <c r="AI53" s="200" t="s">
        <v>1027</v>
      </c>
      <c r="AJ53" s="201" t="s">
        <v>1028</v>
      </c>
      <c r="AK53" s="810"/>
    </row>
    <row r="54" spans="2:41" s="808" customFormat="1" ht="15.75" customHeight="1">
      <c r="B54" s="811">
        <v>9</v>
      </c>
      <c r="C54" s="190"/>
      <c r="D54" s="190" t="s">
        <v>1029</v>
      </c>
      <c r="E54" s="190" t="s">
        <v>1035</v>
      </c>
      <c r="F54" s="190" t="s">
        <v>1025</v>
      </c>
      <c r="G54" s="191" t="s">
        <v>1031</v>
      </c>
      <c r="H54" s="191">
        <v>0</v>
      </c>
      <c r="I54" s="191">
        <v>5.5</v>
      </c>
      <c r="J54" s="192">
        <v>2.0188967889285951</v>
      </c>
      <c r="K54" s="193">
        <v>1.9078357496013441</v>
      </c>
      <c r="L54" s="192">
        <v>0</v>
      </c>
      <c r="M54" s="194">
        <v>0</v>
      </c>
      <c r="N54" s="194">
        <v>0</v>
      </c>
      <c r="O54" s="194">
        <v>0</v>
      </c>
      <c r="P54" s="195">
        <v>0</v>
      </c>
      <c r="Q54" s="194">
        <v>0</v>
      </c>
      <c r="R54" s="196">
        <v>0</v>
      </c>
      <c r="S54" s="196">
        <v>0</v>
      </c>
      <c r="T54" s="196">
        <v>0.24444252831209773</v>
      </c>
      <c r="U54" s="195">
        <v>1.6633932212892464</v>
      </c>
      <c r="V54" s="192">
        <v>9.57</v>
      </c>
      <c r="W54" s="196">
        <v>9.11</v>
      </c>
      <c r="X54" s="196">
        <v>9.1999999999999993</v>
      </c>
      <c r="Y54" s="196">
        <v>9.2091999999999974</v>
      </c>
      <c r="Z54" s="195">
        <v>12.836827599999996</v>
      </c>
      <c r="AA54" s="192">
        <v>12.888174910399997</v>
      </c>
      <c r="AB54" s="196">
        <v>12.991280309683196</v>
      </c>
      <c r="AC54" s="196">
        <v>13.108201832470344</v>
      </c>
      <c r="AD54" s="196">
        <v>13.265500254459988</v>
      </c>
      <c r="AE54" s="195">
        <v>16.424686257513507</v>
      </c>
      <c r="AF54" s="194">
        <v>10</v>
      </c>
      <c r="AG54" s="196">
        <v>10</v>
      </c>
      <c r="AH54" s="196">
        <v>9.1999999999999993</v>
      </c>
      <c r="AI54" s="200" t="s">
        <v>1027</v>
      </c>
      <c r="AJ54" s="201" t="s">
        <v>1028</v>
      </c>
      <c r="AK54" s="810"/>
    </row>
    <row r="55" spans="2:41" s="808" customFormat="1" ht="15.75" customHeight="1">
      <c r="B55" s="811">
        <v>10</v>
      </c>
      <c r="C55" s="190"/>
      <c r="D55" s="190" t="s">
        <v>1029</v>
      </c>
      <c r="E55" s="190">
        <v>0</v>
      </c>
      <c r="F55" s="190" t="s">
        <v>1032</v>
      </c>
      <c r="G55" s="191" t="s">
        <v>1031</v>
      </c>
      <c r="H55" s="191">
        <v>0</v>
      </c>
      <c r="I55" s="191">
        <v>28.8</v>
      </c>
      <c r="J55" s="192">
        <v>3.1706695001058742</v>
      </c>
      <c r="K55" s="193">
        <v>3.1358776669297015</v>
      </c>
      <c r="L55" s="192">
        <v>0</v>
      </c>
      <c r="M55" s="194">
        <v>0</v>
      </c>
      <c r="N55" s="194">
        <v>0</v>
      </c>
      <c r="O55" s="194">
        <v>0</v>
      </c>
      <c r="P55" s="195">
        <v>4.4535153396743535E-2</v>
      </c>
      <c r="Q55" s="194">
        <v>0.46781410499583209</v>
      </c>
      <c r="R55" s="196">
        <v>2.6680635619338693</v>
      </c>
      <c r="S55" s="196">
        <v>0</v>
      </c>
      <c r="T55" s="196">
        <v>0</v>
      </c>
      <c r="U55" s="195">
        <v>0</v>
      </c>
      <c r="V55" s="192">
        <v>0</v>
      </c>
      <c r="W55" s="196">
        <v>0</v>
      </c>
      <c r="X55" s="196">
        <v>40.299999999999997</v>
      </c>
      <c r="Y55" s="196">
        <v>40.279849999999996</v>
      </c>
      <c r="Z55" s="195">
        <v>40.320129849999994</v>
      </c>
      <c r="AA55" s="192">
        <v>40.380610044774997</v>
      </c>
      <c r="AB55" s="196">
        <v>40.441180959842164</v>
      </c>
      <c r="AC55" s="196">
        <v>31.522063321761848</v>
      </c>
      <c r="AD55" s="196">
        <v>31.61662951172713</v>
      </c>
      <c r="AE55" s="195">
        <v>31.743096029774037</v>
      </c>
      <c r="AF55" s="194">
        <v>35</v>
      </c>
      <c r="AG55" s="196">
        <v>35</v>
      </c>
      <c r="AH55" s="196">
        <v>40.25</v>
      </c>
      <c r="AI55" s="200" t="s">
        <v>1027</v>
      </c>
      <c r="AJ55" s="201" t="s">
        <v>1028</v>
      </c>
      <c r="AK55" s="810"/>
    </row>
    <row r="56" spans="2:41" s="808" customFormat="1" ht="15.75" customHeight="1">
      <c r="B56" s="811">
        <v>11</v>
      </c>
      <c r="C56" s="190"/>
      <c r="D56" s="190" t="s">
        <v>1029</v>
      </c>
      <c r="E56" s="190">
        <v>0</v>
      </c>
      <c r="F56" s="190" t="s">
        <v>1032</v>
      </c>
      <c r="G56" s="191" t="s">
        <v>1031</v>
      </c>
      <c r="H56" s="191">
        <v>0</v>
      </c>
      <c r="I56" s="191">
        <v>37</v>
      </c>
      <c r="J56" s="192">
        <v>1.1139952690867967</v>
      </c>
      <c r="K56" s="193">
        <v>1.0945233611773824</v>
      </c>
      <c r="L56" s="192">
        <v>0</v>
      </c>
      <c r="M56" s="194">
        <v>0</v>
      </c>
      <c r="N56" s="194">
        <v>0</v>
      </c>
      <c r="O56" s="194">
        <v>0</v>
      </c>
      <c r="P56" s="195">
        <v>0</v>
      </c>
      <c r="Q56" s="194">
        <v>0</v>
      </c>
      <c r="R56" s="196">
        <v>0</v>
      </c>
      <c r="S56" s="196">
        <v>1.0945233611773824</v>
      </c>
      <c r="T56" s="196">
        <v>0</v>
      </c>
      <c r="U56" s="195">
        <v>0</v>
      </c>
      <c r="V56" s="192">
        <v>0</v>
      </c>
      <c r="W56" s="196">
        <v>0</v>
      </c>
      <c r="X56" s="196">
        <v>25.12</v>
      </c>
      <c r="Y56" s="196">
        <v>25.069760000000002</v>
      </c>
      <c r="Z56" s="195">
        <v>25.019620480000004</v>
      </c>
      <c r="AA56" s="192">
        <v>25.019620480000004</v>
      </c>
      <c r="AB56" s="196">
        <v>25.019620480000004</v>
      </c>
      <c r="AC56" s="196">
        <v>25.044640100480002</v>
      </c>
      <c r="AD56" s="196">
        <v>25.069684740580481</v>
      </c>
      <c r="AE56" s="195">
        <v>25.09475442532106</v>
      </c>
      <c r="AF56" s="194">
        <v>24.63</v>
      </c>
      <c r="AG56" s="196">
        <v>24.63</v>
      </c>
      <c r="AH56" s="196">
        <v>25.12</v>
      </c>
      <c r="AI56" s="200" t="s">
        <v>1027</v>
      </c>
      <c r="AJ56" s="201" t="s">
        <v>1028</v>
      </c>
      <c r="AK56" s="810"/>
    </row>
    <row r="57" spans="2:41" s="808" customFormat="1" ht="15.75" customHeight="1">
      <c r="B57" s="811">
        <v>12</v>
      </c>
      <c r="C57" s="190"/>
      <c r="D57" s="190" t="s">
        <v>1029</v>
      </c>
      <c r="E57" s="190">
        <v>0</v>
      </c>
      <c r="F57" s="190" t="s">
        <v>1032</v>
      </c>
      <c r="G57" s="191" t="s">
        <v>1031</v>
      </c>
      <c r="H57" s="191">
        <v>0</v>
      </c>
      <c r="I57" s="191">
        <v>28.8</v>
      </c>
      <c r="J57" s="192">
        <v>0.64660924136268316</v>
      </c>
      <c r="K57" s="193">
        <v>0.63567325569444266</v>
      </c>
      <c r="L57" s="192">
        <v>0</v>
      </c>
      <c r="M57" s="194">
        <v>0</v>
      </c>
      <c r="N57" s="194">
        <v>0</v>
      </c>
      <c r="O57" s="194">
        <v>0</v>
      </c>
      <c r="P57" s="195">
        <v>0</v>
      </c>
      <c r="Q57" s="194">
        <v>8.4748932064462341E-3</v>
      </c>
      <c r="R57" s="196">
        <v>1.7787090412892465E-2</v>
      </c>
      <c r="S57" s="196">
        <v>0.60941127207510393</v>
      </c>
      <c r="T57" s="196">
        <v>0</v>
      </c>
      <c r="U57" s="195">
        <v>0</v>
      </c>
      <c r="V57" s="192">
        <v>0</v>
      </c>
      <c r="W57" s="196">
        <v>0</v>
      </c>
      <c r="X57" s="196">
        <v>37.1</v>
      </c>
      <c r="Y57" s="196">
        <v>37.137099999999997</v>
      </c>
      <c r="Z57" s="195">
        <v>37.24851129999999</v>
      </c>
      <c r="AA57" s="192">
        <v>37.397505345199988</v>
      </c>
      <c r="AB57" s="196">
        <v>37.696685387961587</v>
      </c>
      <c r="AC57" s="196">
        <v>38.035955556453239</v>
      </c>
      <c r="AD57" s="196">
        <v>38.492387023130675</v>
      </c>
      <c r="AE57" s="195">
        <v>38.954295667408246</v>
      </c>
      <c r="AF57" s="194">
        <v>34.299999999999997</v>
      </c>
      <c r="AG57" s="196">
        <v>34.299999999999997</v>
      </c>
      <c r="AH57" s="196">
        <v>37.1</v>
      </c>
      <c r="AI57" s="200" t="s">
        <v>1027</v>
      </c>
      <c r="AJ57" s="201" t="s">
        <v>1028</v>
      </c>
      <c r="AK57" s="810"/>
    </row>
    <row r="58" spans="2:41" s="808" customFormat="1" ht="15.75" customHeight="1">
      <c r="B58" s="811">
        <v>13</v>
      </c>
      <c r="C58" s="190"/>
      <c r="D58" s="190" t="s">
        <v>1029</v>
      </c>
      <c r="E58" s="190">
        <v>0</v>
      </c>
      <c r="F58" s="190" t="s">
        <v>1032</v>
      </c>
      <c r="G58" s="191" t="s">
        <v>1031</v>
      </c>
      <c r="H58" s="191">
        <v>0</v>
      </c>
      <c r="I58" s="191">
        <v>9.5</v>
      </c>
      <c r="J58" s="192">
        <v>0.47880711486774774</v>
      </c>
      <c r="K58" s="193">
        <v>0.47124901825131965</v>
      </c>
      <c r="L58" s="192">
        <v>0</v>
      </c>
      <c r="M58" s="194">
        <v>0</v>
      </c>
      <c r="N58" s="194">
        <v>0</v>
      </c>
      <c r="O58" s="194">
        <v>0</v>
      </c>
      <c r="P58" s="195">
        <v>0</v>
      </c>
      <c r="Q58" s="194">
        <v>0</v>
      </c>
      <c r="R58" s="196">
        <v>2.7569990139983316E-2</v>
      </c>
      <c r="S58" s="196">
        <v>0.44367902811133636</v>
      </c>
      <c r="T58" s="196">
        <v>0</v>
      </c>
      <c r="U58" s="195">
        <v>0</v>
      </c>
      <c r="V58" s="192">
        <v>0</v>
      </c>
      <c r="W58" s="196">
        <v>0</v>
      </c>
      <c r="X58" s="196">
        <v>19.739999999999998</v>
      </c>
      <c r="Y58" s="196">
        <v>19.700519999999997</v>
      </c>
      <c r="Z58" s="195">
        <v>19.661118959999996</v>
      </c>
      <c r="AA58" s="192">
        <v>19.661118959999996</v>
      </c>
      <c r="AB58" s="196">
        <v>19.661118959999996</v>
      </c>
      <c r="AC58" s="196">
        <v>19.680780078959994</v>
      </c>
      <c r="AD58" s="196">
        <v>19.700460859038952</v>
      </c>
      <c r="AE58" s="195">
        <v>19.72016131989799</v>
      </c>
      <c r="AF58" s="194">
        <v>17.5</v>
      </c>
      <c r="AG58" s="196">
        <v>17.5</v>
      </c>
      <c r="AH58" s="196">
        <v>19.739999999999998</v>
      </c>
      <c r="AI58" s="200" t="s">
        <v>1027</v>
      </c>
      <c r="AJ58" s="201" t="s">
        <v>1028</v>
      </c>
      <c r="AK58" s="810"/>
    </row>
    <row r="59" spans="2:41" s="808" customFormat="1" ht="15.75" customHeight="1">
      <c r="B59" s="811">
        <v>14</v>
      </c>
      <c r="C59" s="190"/>
      <c r="D59" s="190" t="s">
        <v>1023</v>
      </c>
      <c r="E59" s="190" t="s">
        <v>1029</v>
      </c>
      <c r="F59" s="190" t="s">
        <v>1030</v>
      </c>
      <c r="G59" s="191" t="s">
        <v>1031</v>
      </c>
      <c r="H59" s="191">
        <v>0</v>
      </c>
      <c r="I59" s="191">
        <v>0</v>
      </c>
      <c r="J59" s="192">
        <v>0.62200997674562453</v>
      </c>
      <c r="K59" s="193">
        <v>0.52968082540288952</v>
      </c>
      <c r="L59" s="192">
        <v>0</v>
      </c>
      <c r="M59" s="194">
        <v>0</v>
      </c>
      <c r="N59" s="194">
        <v>0</v>
      </c>
      <c r="O59" s="194">
        <v>0</v>
      </c>
      <c r="P59" s="195">
        <v>6.4849433893503741E-2</v>
      </c>
      <c r="Q59" s="194">
        <v>0.52968082540288952</v>
      </c>
      <c r="R59" s="196">
        <v>0</v>
      </c>
      <c r="S59" s="196">
        <v>0</v>
      </c>
      <c r="T59" s="196">
        <v>0</v>
      </c>
      <c r="U59" s="195">
        <v>0</v>
      </c>
      <c r="V59" s="192">
        <v>66.47</v>
      </c>
      <c r="W59" s="196">
        <v>63.5</v>
      </c>
      <c r="X59" s="196">
        <v>68.13</v>
      </c>
      <c r="Y59" s="196">
        <v>68.095934999999997</v>
      </c>
      <c r="Z59" s="195">
        <v>68.164030934999985</v>
      </c>
      <c r="AA59" s="192">
        <v>68.266276981402484</v>
      </c>
      <c r="AB59" s="196">
        <v>50.368676396874591</v>
      </c>
      <c r="AC59" s="196">
        <v>50.469413749668341</v>
      </c>
      <c r="AD59" s="196">
        <v>50.620821990917342</v>
      </c>
      <c r="AE59" s="195">
        <v>50.823305278881008</v>
      </c>
      <c r="AF59" s="194">
        <v>58.5</v>
      </c>
      <c r="AG59" s="196">
        <v>58.5</v>
      </c>
      <c r="AH59" s="196">
        <v>68.59</v>
      </c>
      <c r="AI59" s="200" t="s">
        <v>1036</v>
      </c>
      <c r="AJ59" s="201" t="s">
        <v>1028</v>
      </c>
      <c r="AK59" s="810"/>
    </row>
    <row r="60" spans="2:41" s="808" customFormat="1" ht="15.75" customHeight="1">
      <c r="B60" s="811">
        <v>15</v>
      </c>
      <c r="C60" s="190"/>
      <c r="D60" s="190" t="s">
        <v>1029</v>
      </c>
      <c r="E60" s="190" t="s">
        <v>1035</v>
      </c>
      <c r="F60" s="190" t="s">
        <v>1030</v>
      </c>
      <c r="G60" s="191" t="s">
        <v>1031</v>
      </c>
      <c r="H60" s="191">
        <v>0</v>
      </c>
      <c r="I60" s="191">
        <v>9</v>
      </c>
      <c r="J60" s="192">
        <v>0.80386882587887931</v>
      </c>
      <c r="K60" s="193">
        <v>0.76005757396404539</v>
      </c>
      <c r="L60" s="192">
        <v>0</v>
      </c>
      <c r="M60" s="194">
        <v>0</v>
      </c>
      <c r="N60" s="194">
        <v>0</v>
      </c>
      <c r="O60" s="194">
        <v>0</v>
      </c>
      <c r="P60" s="195">
        <v>3.1252739225784927E-2</v>
      </c>
      <c r="Q60" s="194">
        <v>0.3669628758391219</v>
      </c>
      <c r="R60" s="196">
        <v>0.39309469812492343</v>
      </c>
      <c r="S60" s="196">
        <v>0</v>
      </c>
      <c r="T60" s="196">
        <v>0</v>
      </c>
      <c r="U60" s="195">
        <v>0</v>
      </c>
      <c r="V60" s="192">
        <v>19.64</v>
      </c>
      <c r="W60" s="196">
        <v>14.7</v>
      </c>
      <c r="X60" s="196">
        <v>19.73</v>
      </c>
      <c r="Y60" s="196">
        <v>19.74973</v>
      </c>
      <c r="Z60" s="195">
        <v>19.808979189999999</v>
      </c>
      <c r="AA60" s="192">
        <v>19.888215106759997</v>
      </c>
      <c r="AB60" s="196">
        <v>20.047320827614076</v>
      </c>
      <c r="AC60" s="196">
        <v>20.227746715062601</v>
      </c>
      <c r="AD60" s="196">
        <v>20.470479675643354</v>
      </c>
      <c r="AE60" s="195">
        <v>20.716125431751074</v>
      </c>
      <c r="AF60" s="194">
        <v>19.5</v>
      </c>
      <c r="AG60" s="196">
        <v>17.5</v>
      </c>
      <c r="AH60" s="196">
        <v>19.7</v>
      </c>
      <c r="AI60" s="200" t="s">
        <v>1027</v>
      </c>
      <c r="AJ60" s="201" t="s">
        <v>1028</v>
      </c>
      <c r="AK60" s="810"/>
    </row>
    <row r="61" spans="2:41" s="808" customFormat="1" ht="15.75" customHeight="1">
      <c r="B61" s="811">
        <v>16</v>
      </c>
      <c r="C61" s="190"/>
      <c r="D61" s="190" t="s">
        <v>1029</v>
      </c>
      <c r="E61" s="190" t="s">
        <v>1024</v>
      </c>
      <c r="F61" s="190" t="s">
        <v>1030</v>
      </c>
      <c r="G61" s="191" t="s">
        <v>1031</v>
      </c>
      <c r="H61" s="191">
        <v>0</v>
      </c>
      <c r="I61" s="191">
        <v>3.5</v>
      </c>
      <c r="J61" s="192">
        <v>0.45772203091026903</v>
      </c>
      <c r="K61" s="193">
        <v>0.45029699600584872</v>
      </c>
      <c r="L61" s="192">
        <v>0</v>
      </c>
      <c r="M61" s="194">
        <v>0</v>
      </c>
      <c r="N61" s="194">
        <v>0</v>
      </c>
      <c r="O61" s="194">
        <v>0</v>
      </c>
      <c r="P61" s="195">
        <v>0</v>
      </c>
      <c r="Q61" s="194">
        <v>4.237446603223117E-3</v>
      </c>
      <c r="R61" s="196">
        <v>2.2233863016115581E-2</v>
      </c>
      <c r="S61" s="196">
        <v>0.42382568638651003</v>
      </c>
      <c r="T61" s="196">
        <v>0</v>
      </c>
      <c r="U61" s="195">
        <v>0</v>
      </c>
      <c r="V61" s="192">
        <v>7.53</v>
      </c>
      <c r="W61" s="196">
        <v>7.6</v>
      </c>
      <c r="X61" s="196">
        <v>7.05</v>
      </c>
      <c r="Y61" s="196">
        <v>7.0358999999999998</v>
      </c>
      <c r="Z61" s="195">
        <v>7.0218281999999999</v>
      </c>
      <c r="AA61" s="192">
        <v>7.0218281999999999</v>
      </c>
      <c r="AB61" s="196">
        <v>7.0218281999999999</v>
      </c>
      <c r="AC61" s="196">
        <v>7.028850028199999</v>
      </c>
      <c r="AD61" s="196">
        <v>7.035878878228198</v>
      </c>
      <c r="AE61" s="195">
        <v>7.0429147571064252</v>
      </c>
      <c r="AF61" s="194">
        <v>7.58</v>
      </c>
      <c r="AG61" s="196">
        <v>6.25</v>
      </c>
      <c r="AH61" s="196">
        <v>7</v>
      </c>
      <c r="AI61" s="200" t="s">
        <v>1027</v>
      </c>
      <c r="AJ61" s="201" t="s">
        <v>1028</v>
      </c>
      <c r="AK61" s="810"/>
    </row>
    <row r="62" spans="2:41" s="808" customFormat="1" ht="15.75" customHeight="1">
      <c r="B62" s="811">
        <v>17</v>
      </c>
      <c r="C62" s="190"/>
      <c r="D62" s="190" t="s">
        <v>1029</v>
      </c>
      <c r="E62" s="190" t="s">
        <v>1024</v>
      </c>
      <c r="F62" s="190" t="s">
        <v>1032</v>
      </c>
      <c r="G62" s="191" t="s">
        <v>1031</v>
      </c>
      <c r="H62" s="191">
        <v>0</v>
      </c>
      <c r="I62" s="191">
        <v>5.5</v>
      </c>
      <c r="J62" s="192">
        <v>1.2756475794274673</v>
      </c>
      <c r="K62" s="193">
        <v>1.2071030979437616</v>
      </c>
      <c r="L62" s="192">
        <v>0</v>
      </c>
      <c r="M62" s="194">
        <v>0</v>
      </c>
      <c r="N62" s="194">
        <v>0</v>
      </c>
      <c r="O62" s="194">
        <v>4.0000000000000001E-3</v>
      </c>
      <c r="P62" s="195">
        <v>3.5940650109652666E-2</v>
      </c>
      <c r="Q62" s="194">
        <v>0.80511485461239196</v>
      </c>
      <c r="R62" s="196">
        <v>0.40198824333136968</v>
      </c>
      <c r="S62" s="196">
        <v>0</v>
      </c>
      <c r="T62" s="196">
        <v>0</v>
      </c>
      <c r="U62" s="195">
        <v>0</v>
      </c>
      <c r="V62" s="192">
        <v>24.43</v>
      </c>
      <c r="W62" s="196">
        <v>25.8</v>
      </c>
      <c r="X62" s="196">
        <v>25.21</v>
      </c>
      <c r="Y62" s="196">
        <v>25.197395000000004</v>
      </c>
      <c r="Z62" s="195">
        <v>25.222592394999999</v>
      </c>
      <c r="AA62" s="192">
        <v>25.260426283592501</v>
      </c>
      <c r="AB62" s="196">
        <v>25.298316923017893</v>
      </c>
      <c r="AC62" s="196">
        <v>20.348913556863931</v>
      </c>
      <c r="AD62" s="196">
        <v>20.409960297534521</v>
      </c>
      <c r="AE62" s="195">
        <v>20.49160013872466</v>
      </c>
      <c r="AF62" s="194">
        <v>26.54</v>
      </c>
      <c r="AG62" s="196">
        <v>22.6</v>
      </c>
      <c r="AH62" s="196">
        <v>25.2</v>
      </c>
      <c r="AI62" s="200" t="s">
        <v>1027</v>
      </c>
      <c r="AJ62" s="201" t="s">
        <v>1028</v>
      </c>
      <c r="AK62" s="810"/>
    </row>
    <row r="63" spans="2:41" s="808" customFormat="1" ht="15.75" customHeight="1">
      <c r="B63" s="811">
        <v>18</v>
      </c>
      <c r="C63" s="190"/>
      <c r="D63" s="190" t="s">
        <v>1029</v>
      </c>
      <c r="E63" s="190" t="s">
        <v>1024</v>
      </c>
      <c r="F63" s="190" t="s">
        <v>1032</v>
      </c>
      <c r="G63" s="191" t="s">
        <v>1031</v>
      </c>
      <c r="H63" s="191">
        <v>0</v>
      </c>
      <c r="I63" s="191">
        <v>2.5</v>
      </c>
      <c r="J63" s="192">
        <v>0.43487985662300027</v>
      </c>
      <c r="K63" s="193">
        <v>0.41134723216908853</v>
      </c>
      <c r="L63" s="192">
        <v>0</v>
      </c>
      <c r="M63" s="194">
        <v>0</v>
      </c>
      <c r="N63" s="194">
        <v>0</v>
      </c>
      <c r="O63" s="194">
        <v>0</v>
      </c>
      <c r="P63" s="195">
        <v>0</v>
      </c>
      <c r="Q63" s="194">
        <v>0</v>
      </c>
      <c r="R63" s="196">
        <v>0</v>
      </c>
      <c r="S63" s="196">
        <v>0</v>
      </c>
      <c r="T63" s="196">
        <v>2.4608308219338699E-2</v>
      </c>
      <c r="U63" s="195">
        <v>0.38673892394974985</v>
      </c>
      <c r="V63" s="192">
        <v>5.51</v>
      </c>
      <c r="W63" s="196">
        <v>5.4</v>
      </c>
      <c r="X63" s="196">
        <v>5.3</v>
      </c>
      <c r="Y63" s="196">
        <v>5.2973499999999998</v>
      </c>
      <c r="Z63" s="195">
        <v>5.3026473499999991</v>
      </c>
      <c r="AA63" s="192">
        <v>5.3185552920499983</v>
      </c>
      <c r="AB63" s="196">
        <v>5.3504666238022986</v>
      </c>
      <c r="AC63" s="196">
        <v>5.3986208234165192</v>
      </c>
      <c r="AD63" s="196">
        <v>5.4472084108272671</v>
      </c>
      <c r="AE63" s="195">
        <v>5.4962332865247117</v>
      </c>
      <c r="AF63" s="194">
        <v>5</v>
      </c>
      <c r="AG63" s="196">
        <v>5</v>
      </c>
      <c r="AH63" s="196">
        <v>5.3</v>
      </c>
      <c r="AI63" s="200" t="s">
        <v>1027</v>
      </c>
      <c r="AJ63" s="201" t="s">
        <v>1028</v>
      </c>
      <c r="AK63" s="810"/>
    </row>
    <row r="64" spans="2:41" s="808" customFormat="1" ht="15.75" customHeight="1">
      <c r="B64" s="811">
        <v>19</v>
      </c>
      <c r="C64" s="190"/>
      <c r="D64" s="190" t="s">
        <v>1029</v>
      </c>
      <c r="E64" s="190">
        <v>0</v>
      </c>
      <c r="F64" s="190" t="s">
        <v>1032</v>
      </c>
      <c r="G64" s="191" t="s">
        <v>1031</v>
      </c>
      <c r="H64" s="191">
        <v>0</v>
      </c>
      <c r="I64" s="191">
        <v>34</v>
      </c>
      <c r="J64" s="192">
        <v>1.387222815369126</v>
      </c>
      <c r="K64" s="193">
        <v>1.2952172892778602</v>
      </c>
      <c r="L64" s="192">
        <v>0</v>
      </c>
      <c r="M64" s="194">
        <v>0</v>
      </c>
      <c r="N64" s="194">
        <v>0</v>
      </c>
      <c r="O64" s="194">
        <v>0</v>
      </c>
      <c r="P64" s="195">
        <v>0</v>
      </c>
      <c r="Q64" s="194">
        <v>0</v>
      </c>
      <c r="R64" s="196">
        <v>0</v>
      </c>
      <c r="S64" s="196">
        <v>0</v>
      </c>
      <c r="T64" s="196">
        <v>1.2952172892778602</v>
      </c>
      <c r="U64" s="195">
        <v>0</v>
      </c>
      <c r="V64" s="192">
        <v>0</v>
      </c>
      <c r="W64" s="196">
        <v>0</v>
      </c>
      <c r="X64" s="196">
        <v>33.9</v>
      </c>
      <c r="Y64" s="196">
        <v>33.883049999999997</v>
      </c>
      <c r="Z64" s="195">
        <v>33.91693304999999</v>
      </c>
      <c r="AA64" s="192">
        <v>33.981375222794988</v>
      </c>
      <c r="AB64" s="196">
        <v>34.079921210941087</v>
      </c>
      <c r="AC64" s="196">
        <v>34.209424911542662</v>
      </c>
      <c r="AD64" s="196">
        <v>34.373630151118064</v>
      </c>
      <c r="AE64" s="195">
        <v>34.538623575843431</v>
      </c>
      <c r="AF64" s="194">
        <v>31.4</v>
      </c>
      <c r="AG64" s="196">
        <v>31.4</v>
      </c>
      <c r="AH64" s="196">
        <v>33.9</v>
      </c>
      <c r="AI64" s="200" t="s">
        <v>1027</v>
      </c>
      <c r="AJ64" s="201" t="s">
        <v>1028</v>
      </c>
      <c r="AK64" s="810"/>
    </row>
    <row r="65" spans="2:37" s="808" customFormat="1" ht="15.75" customHeight="1">
      <c r="B65" s="811">
        <v>20</v>
      </c>
      <c r="C65" s="202"/>
      <c r="D65" s="202" t="s">
        <v>1029</v>
      </c>
      <c r="E65" s="190" t="s">
        <v>1024</v>
      </c>
      <c r="F65" s="202" t="s">
        <v>1030</v>
      </c>
      <c r="G65" s="203" t="s">
        <v>1031</v>
      </c>
      <c r="H65" s="191">
        <v>0</v>
      </c>
      <c r="I65" s="203">
        <v>11.7</v>
      </c>
      <c r="J65" s="204">
        <v>0.86800262291621066</v>
      </c>
      <c r="K65" s="205">
        <v>0.81198262975688784</v>
      </c>
      <c r="L65" s="204">
        <v>0</v>
      </c>
      <c r="M65" s="206">
        <v>0</v>
      </c>
      <c r="N65" s="206">
        <v>0</v>
      </c>
      <c r="O65" s="206">
        <v>0</v>
      </c>
      <c r="P65" s="207">
        <v>0</v>
      </c>
      <c r="Q65" s="206">
        <v>0</v>
      </c>
      <c r="R65" s="208">
        <v>8.8935452064462326E-3</v>
      </c>
      <c r="S65" s="208">
        <v>1.7263775412892465E-2</v>
      </c>
      <c r="T65" s="208">
        <v>0.78582530913754911</v>
      </c>
      <c r="U65" s="207">
        <v>0</v>
      </c>
      <c r="V65" s="192">
        <v>18.420000000000002</v>
      </c>
      <c r="W65" s="196">
        <v>17.899999999999999</v>
      </c>
      <c r="X65" s="196">
        <v>18.690000000000001</v>
      </c>
      <c r="Y65" s="196">
        <v>18.680655000000002</v>
      </c>
      <c r="Z65" s="195">
        <v>18.699335654999999</v>
      </c>
      <c r="AA65" s="192">
        <v>18.727384658482499</v>
      </c>
      <c r="AB65" s="196">
        <v>18.755475735470224</v>
      </c>
      <c r="AC65" s="196">
        <v>18.792986686941166</v>
      </c>
      <c r="AD65" s="196">
        <v>18.849365647001989</v>
      </c>
      <c r="AE65" s="195">
        <v>18.924763109589996</v>
      </c>
      <c r="AF65" s="194">
        <v>19</v>
      </c>
      <c r="AG65" s="196">
        <v>17.5</v>
      </c>
      <c r="AH65" s="196">
        <v>18.7</v>
      </c>
      <c r="AI65" s="200" t="s">
        <v>1027</v>
      </c>
      <c r="AJ65" s="201" t="s">
        <v>1028</v>
      </c>
      <c r="AK65" s="812"/>
    </row>
    <row r="66" spans="2:37" s="808" customFormat="1" ht="15.75" customHeight="1">
      <c r="B66" s="811">
        <v>21</v>
      </c>
      <c r="C66" s="202"/>
      <c r="D66" s="202"/>
      <c r="E66" s="190"/>
      <c r="F66" s="202"/>
      <c r="G66" s="203"/>
      <c r="H66" s="191"/>
      <c r="I66" s="203"/>
      <c r="J66" s="204"/>
      <c r="K66" s="205"/>
      <c r="L66" s="204"/>
      <c r="M66" s="206"/>
      <c r="N66" s="206"/>
      <c r="O66" s="206"/>
      <c r="P66" s="207"/>
      <c r="Q66" s="206"/>
      <c r="R66" s="208"/>
      <c r="S66" s="208"/>
      <c r="T66" s="208"/>
      <c r="U66" s="207"/>
      <c r="V66" s="192"/>
      <c r="W66" s="196"/>
      <c r="X66" s="196"/>
      <c r="Y66" s="196"/>
      <c r="Z66" s="195"/>
      <c r="AA66" s="192"/>
      <c r="AB66" s="196"/>
      <c r="AC66" s="196"/>
      <c r="AD66" s="196"/>
      <c r="AE66" s="195"/>
      <c r="AF66" s="194"/>
      <c r="AG66" s="196"/>
      <c r="AH66" s="196"/>
      <c r="AI66" s="200"/>
      <c r="AJ66" s="201"/>
      <c r="AK66" s="812"/>
    </row>
    <row r="67" spans="2:37" s="808" customFormat="1" ht="15.75" customHeight="1">
      <c r="B67" s="811">
        <v>22</v>
      </c>
      <c r="C67" s="202"/>
      <c r="D67" s="202"/>
      <c r="E67" s="190"/>
      <c r="F67" s="202"/>
      <c r="G67" s="203"/>
      <c r="H67" s="191"/>
      <c r="I67" s="203"/>
      <c r="J67" s="204"/>
      <c r="K67" s="205"/>
      <c r="L67" s="204"/>
      <c r="M67" s="206"/>
      <c r="N67" s="206"/>
      <c r="O67" s="206"/>
      <c r="P67" s="207"/>
      <c r="Q67" s="206"/>
      <c r="R67" s="208"/>
      <c r="S67" s="208"/>
      <c r="T67" s="208"/>
      <c r="U67" s="207"/>
      <c r="V67" s="192"/>
      <c r="W67" s="196"/>
      <c r="X67" s="196"/>
      <c r="Y67" s="196"/>
      <c r="Z67" s="195"/>
      <c r="AA67" s="192"/>
      <c r="AB67" s="196"/>
      <c r="AC67" s="196"/>
      <c r="AD67" s="196"/>
      <c r="AE67" s="195"/>
      <c r="AF67" s="194"/>
      <c r="AG67" s="196"/>
      <c r="AH67" s="196"/>
      <c r="AI67" s="200"/>
      <c r="AJ67" s="201"/>
      <c r="AK67" s="812"/>
    </row>
    <row r="68" spans="2:37" s="808" customFormat="1" ht="15.75" customHeight="1">
      <c r="B68" s="811">
        <v>23</v>
      </c>
      <c r="C68" s="202"/>
      <c r="D68" s="202"/>
      <c r="E68" s="190"/>
      <c r="F68" s="202"/>
      <c r="G68" s="203"/>
      <c r="H68" s="191"/>
      <c r="I68" s="203"/>
      <c r="J68" s="204"/>
      <c r="K68" s="205"/>
      <c r="L68" s="204"/>
      <c r="M68" s="206"/>
      <c r="N68" s="206"/>
      <c r="O68" s="206"/>
      <c r="P68" s="207"/>
      <c r="Q68" s="206"/>
      <c r="R68" s="208"/>
      <c r="S68" s="208"/>
      <c r="T68" s="208"/>
      <c r="U68" s="207"/>
      <c r="V68" s="192"/>
      <c r="W68" s="196"/>
      <c r="X68" s="196"/>
      <c r="Y68" s="196"/>
      <c r="Z68" s="195"/>
      <c r="AA68" s="192"/>
      <c r="AB68" s="196"/>
      <c r="AC68" s="196"/>
      <c r="AD68" s="196"/>
      <c r="AE68" s="195"/>
      <c r="AF68" s="194"/>
      <c r="AG68" s="196"/>
      <c r="AH68" s="196"/>
      <c r="AI68" s="200"/>
      <c r="AJ68" s="201"/>
      <c r="AK68" s="812"/>
    </row>
    <row r="69" spans="2:37" s="808" customFormat="1" ht="15.75" customHeight="1">
      <c r="B69" s="811">
        <v>24</v>
      </c>
      <c r="C69" s="202"/>
      <c r="D69" s="202"/>
      <c r="E69" s="190"/>
      <c r="F69" s="202"/>
      <c r="G69" s="203"/>
      <c r="H69" s="191"/>
      <c r="I69" s="203"/>
      <c r="J69" s="204"/>
      <c r="K69" s="205"/>
      <c r="L69" s="204"/>
      <c r="M69" s="206"/>
      <c r="N69" s="206"/>
      <c r="O69" s="206"/>
      <c r="P69" s="207"/>
      <c r="Q69" s="206"/>
      <c r="R69" s="208"/>
      <c r="S69" s="208"/>
      <c r="T69" s="208"/>
      <c r="U69" s="207"/>
      <c r="V69" s="192"/>
      <c r="W69" s="196"/>
      <c r="X69" s="196"/>
      <c r="Y69" s="196"/>
      <c r="Z69" s="195"/>
      <c r="AA69" s="192"/>
      <c r="AB69" s="196"/>
      <c r="AC69" s="196"/>
      <c r="AD69" s="196"/>
      <c r="AE69" s="195"/>
      <c r="AF69" s="194"/>
      <c r="AG69" s="196"/>
      <c r="AH69" s="196"/>
      <c r="AI69" s="200"/>
      <c r="AJ69" s="201"/>
      <c r="AK69" s="812"/>
    </row>
    <row r="70" spans="2:37" s="808" customFormat="1" ht="15.75" customHeight="1">
      <c r="B70" s="811">
        <v>25</v>
      </c>
      <c r="C70" s="202"/>
      <c r="D70" s="202"/>
      <c r="E70" s="190"/>
      <c r="F70" s="202"/>
      <c r="G70" s="203"/>
      <c r="H70" s="191"/>
      <c r="I70" s="203"/>
      <c r="J70" s="204"/>
      <c r="K70" s="205"/>
      <c r="L70" s="204"/>
      <c r="M70" s="206"/>
      <c r="N70" s="206"/>
      <c r="O70" s="206"/>
      <c r="P70" s="207"/>
      <c r="Q70" s="206"/>
      <c r="R70" s="208"/>
      <c r="S70" s="208"/>
      <c r="T70" s="208"/>
      <c r="U70" s="207"/>
      <c r="V70" s="192"/>
      <c r="W70" s="196"/>
      <c r="X70" s="196"/>
      <c r="Y70" s="196"/>
      <c r="Z70" s="195"/>
      <c r="AA70" s="192"/>
      <c r="AB70" s="196"/>
      <c r="AC70" s="196"/>
      <c r="AD70" s="196"/>
      <c r="AE70" s="195"/>
      <c r="AF70" s="194"/>
      <c r="AG70" s="196"/>
      <c r="AH70" s="196"/>
      <c r="AI70" s="200"/>
      <c r="AJ70" s="201"/>
      <c r="AK70" s="812"/>
    </row>
    <row r="71" spans="2:37" s="808" customFormat="1" ht="15.75" customHeight="1">
      <c r="B71" s="811">
        <v>26</v>
      </c>
      <c r="C71" s="202"/>
      <c r="D71" s="202"/>
      <c r="E71" s="190"/>
      <c r="F71" s="202"/>
      <c r="G71" s="203"/>
      <c r="H71" s="191"/>
      <c r="I71" s="203"/>
      <c r="J71" s="204"/>
      <c r="K71" s="205"/>
      <c r="L71" s="204"/>
      <c r="M71" s="206"/>
      <c r="N71" s="206"/>
      <c r="O71" s="206"/>
      <c r="P71" s="207"/>
      <c r="Q71" s="206"/>
      <c r="R71" s="208"/>
      <c r="S71" s="208"/>
      <c r="T71" s="208"/>
      <c r="U71" s="207"/>
      <c r="V71" s="192"/>
      <c r="W71" s="196"/>
      <c r="X71" s="196"/>
      <c r="Y71" s="196"/>
      <c r="Z71" s="195"/>
      <c r="AA71" s="192"/>
      <c r="AB71" s="196"/>
      <c r="AC71" s="196"/>
      <c r="AD71" s="196"/>
      <c r="AE71" s="195"/>
      <c r="AF71" s="194"/>
      <c r="AG71" s="196"/>
      <c r="AH71" s="196"/>
      <c r="AI71" s="200"/>
      <c r="AJ71" s="201"/>
      <c r="AK71" s="812"/>
    </row>
    <row r="72" spans="2:37" s="808" customFormat="1" ht="15.75" customHeight="1">
      <c r="B72" s="811">
        <v>27</v>
      </c>
      <c r="C72" s="202"/>
      <c r="D72" s="202"/>
      <c r="E72" s="190"/>
      <c r="F72" s="202"/>
      <c r="G72" s="203"/>
      <c r="H72" s="191"/>
      <c r="I72" s="203"/>
      <c r="J72" s="204"/>
      <c r="K72" s="205"/>
      <c r="L72" s="204"/>
      <c r="M72" s="206"/>
      <c r="N72" s="206"/>
      <c r="O72" s="206"/>
      <c r="P72" s="207"/>
      <c r="Q72" s="206"/>
      <c r="R72" s="208"/>
      <c r="S72" s="208"/>
      <c r="T72" s="208"/>
      <c r="U72" s="207"/>
      <c r="V72" s="192"/>
      <c r="W72" s="196"/>
      <c r="X72" s="196"/>
      <c r="Y72" s="196"/>
      <c r="Z72" s="195"/>
      <c r="AA72" s="192"/>
      <c r="AB72" s="196"/>
      <c r="AC72" s="196"/>
      <c r="AD72" s="196"/>
      <c r="AE72" s="195"/>
      <c r="AF72" s="194"/>
      <c r="AG72" s="196"/>
      <c r="AH72" s="196"/>
      <c r="AI72" s="200"/>
      <c r="AJ72" s="201"/>
      <c r="AK72" s="812"/>
    </row>
    <row r="73" spans="2:37" s="808" customFormat="1" ht="15.75" customHeight="1">
      <c r="B73" s="811">
        <v>28</v>
      </c>
      <c r="C73" s="202"/>
      <c r="D73" s="202"/>
      <c r="E73" s="190"/>
      <c r="F73" s="202"/>
      <c r="G73" s="203"/>
      <c r="H73" s="191"/>
      <c r="I73" s="203"/>
      <c r="J73" s="204"/>
      <c r="K73" s="205"/>
      <c r="L73" s="204"/>
      <c r="M73" s="206"/>
      <c r="N73" s="206"/>
      <c r="O73" s="206"/>
      <c r="P73" s="207"/>
      <c r="Q73" s="206"/>
      <c r="R73" s="208"/>
      <c r="S73" s="208"/>
      <c r="T73" s="208"/>
      <c r="U73" s="207"/>
      <c r="V73" s="192"/>
      <c r="W73" s="196"/>
      <c r="X73" s="196"/>
      <c r="Y73" s="196"/>
      <c r="Z73" s="195"/>
      <c r="AA73" s="192"/>
      <c r="AB73" s="196"/>
      <c r="AC73" s="196"/>
      <c r="AD73" s="196"/>
      <c r="AE73" s="195"/>
      <c r="AF73" s="194"/>
      <c r="AG73" s="196"/>
      <c r="AH73" s="196"/>
      <c r="AI73" s="200"/>
      <c r="AJ73" s="201"/>
      <c r="AK73" s="812"/>
    </row>
    <row r="74" spans="2:37" s="808" customFormat="1" ht="15.75" customHeight="1">
      <c r="B74" s="811">
        <v>29</v>
      </c>
      <c r="C74" s="202"/>
      <c r="D74" s="202"/>
      <c r="E74" s="190"/>
      <c r="F74" s="202"/>
      <c r="G74" s="203"/>
      <c r="H74" s="191"/>
      <c r="I74" s="203"/>
      <c r="J74" s="204"/>
      <c r="K74" s="205"/>
      <c r="L74" s="204"/>
      <c r="M74" s="206"/>
      <c r="N74" s="206"/>
      <c r="O74" s="206"/>
      <c r="P74" s="207"/>
      <c r="Q74" s="206"/>
      <c r="R74" s="208"/>
      <c r="S74" s="208"/>
      <c r="T74" s="208"/>
      <c r="U74" s="207"/>
      <c r="V74" s="192"/>
      <c r="W74" s="196"/>
      <c r="X74" s="196"/>
      <c r="Y74" s="196"/>
      <c r="Z74" s="195"/>
      <c r="AA74" s="192"/>
      <c r="AB74" s="196"/>
      <c r="AC74" s="196"/>
      <c r="AD74" s="196"/>
      <c r="AE74" s="195"/>
      <c r="AF74" s="194"/>
      <c r="AG74" s="196"/>
      <c r="AH74" s="196"/>
      <c r="AI74" s="200"/>
      <c r="AJ74" s="201"/>
      <c r="AK74" s="812"/>
    </row>
    <row r="75" spans="2:37" s="808" customFormat="1" ht="15.75" customHeight="1">
      <c r="B75" s="811">
        <v>30</v>
      </c>
      <c r="C75" s="202"/>
      <c r="D75" s="202"/>
      <c r="E75" s="190"/>
      <c r="F75" s="202"/>
      <c r="G75" s="203"/>
      <c r="H75" s="191"/>
      <c r="I75" s="203"/>
      <c r="J75" s="204"/>
      <c r="K75" s="205"/>
      <c r="L75" s="204"/>
      <c r="M75" s="206"/>
      <c r="N75" s="206"/>
      <c r="O75" s="206"/>
      <c r="P75" s="207"/>
      <c r="Q75" s="206"/>
      <c r="R75" s="208"/>
      <c r="S75" s="208"/>
      <c r="T75" s="208"/>
      <c r="U75" s="207"/>
      <c r="V75" s="192"/>
      <c r="W75" s="196"/>
      <c r="X75" s="196"/>
      <c r="Y75" s="196"/>
      <c r="Z75" s="195"/>
      <c r="AA75" s="192"/>
      <c r="AB75" s="196"/>
      <c r="AC75" s="196"/>
      <c r="AD75" s="196"/>
      <c r="AE75" s="195"/>
      <c r="AF75" s="194"/>
      <c r="AG75" s="196"/>
      <c r="AH75" s="196"/>
      <c r="AI75" s="200"/>
      <c r="AJ75" s="201"/>
      <c r="AK75" s="812"/>
    </row>
    <row r="76" spans="2:37" s="808" customFormat="1" ht="15.75" customHeight="1">
      <c r="B76" s="811">
        <v>31</v>
      </c>
      <c r="C76" s="202"/>
      <c r="D76" s="202"/>
      <c r="E76" s="190"/>
      <c r="F76" s="202"/>
      <c r="G76" s="203"/>
      <c r="H76" s="191"/>
      <c r="I76" s="203"/>
      <c r="J76" s="204"/>
      <c r="K76" s="205"/>
      <c r="L76" s="204"/>
      <c r="M76" s="206"/>
      <c r="N76" s="206"/>
      <c r="O76" s="206"/>
      <c r="P76" s="207"/>
      <c r="Q76" s="206"/>
      <c r="R76" s="208"/>
      <c r="S76" s="208"/>
      <c r="T76" s="208"/>
      <c r="U76" s="207"/>
      <c r="V76" s="192"/>
      <c r="W76" s="196"/>
      <c r="X76" s="196"/>
      <c r="Y76" s="196"/>
      <c r="Z76" s="195"/>
      <c r="AA76" s="192"/>
      <c r="AB76" s="196"/>
      <c r="AC76" s="196"/>
      <c r="AD76" s="196"/>
      <c r="AE76" s="195"/>
      <c r="AF76" s="194"/>
      <c r="AG76" s="196"/>
      <c r="AH76" s="196"/>
      <c r="AI76" s="200"/>
      <c r="AJ76" s="201"/>
      <c r="AK76" s="812"/>
    </row>
    <row r="77" spans="2:37" s="808" customFormat="1" ht="15.75" customHeight="1">
      <c r="B77" s="811">
        <v>32</v>
      </c>
      <c r="C77" s="202"/>
      <c r="D77" s="202"/>
      <c r="E77" s="190"/>
      <c r="F77" s="202"/>
      <c r="G77" s="203"/>
      <c r="H77" s="191"/>
      <c r="I77" s="203"/>
      <c r="J77" s="204"/>
      <c r="K77" s="205"/>
      <c r="L77" s="204"/>
      <c r="M77" s="206"/>
      <c r="N77" s="206"/>
      <c r="O77" s="206"/>
      <c r="P77" s="207"/>
      <c r="Q77" s="206"/>
      <c r="R77" s="208"/>
      <c r="S77" s="208"/>
      <c r="T77" s="208"/>
      <c r="U77" s="207"/>
      <c r="V77" s="192"/>
      <c r="W77" s="196"/>
      <c r="X77" s="196"/>
      <c r="Y77" s="196"/>
      <c r="Z77" s="195"/>
      <c r="AA77" s="192"/>
      <c r="AB77" s="196"/>
      <c r="AC77" s="196"/>
      <c r="AD77" s="196"/>
      <c r="AE77" s="195"/>
      <c r="AF77" s="194"/>
      <c r="AG77" s="196"/>
      <c r="AH77" s="196"/>
      <c r="AI77" s="200"/>
      <c r="AJ77" s="201"/>
      <c r="AK77" s="812"/>
    </row>
    <row r="78" spans="2:37" s="808" customFormat="1" ht="15.75" customHeight="1">
      <c r="B78" s="811">
        <v>33</v>
      </c>
      <c r="C78" s="202"/>
      <c r="D78" s="202"/>
      <c r="E78" s="190"/>
      <c r="F78" s="202"/>
      <c r="G78" s="203"/>
      <c r="H78" s="191"/>
      <c r="I78" s="203"/>
      <c r="J78" s="204"/>
      <c r="K78" s="205"/>
      <c r="L78" s="204"/>
      <c r="M78" s="206"/>
      <c r="N78" s="206"/>
      <c r="O78" s="206"/>
      <c r="P78" s="207"/>
      <c r="Q78" s="206"/>
      <c r="R78" s="208"/>
      <c r="S78" s="208"/>
      <c r="T78" s="208"/>
      <c r="U78" s="207"/>
      <c r="V78" s="192"/>
      <c r="W78" s="196"/>
      <c r="X78" s="196"/>
      <c r="Y78" s="196"/>
      <c r="Z78" s="195"/>
      <c r="AA78" s="192"/>
      <c r="AB78" s="196"/>
      <c r="AC78" s="196"/>
      <c r="AD78" s="196"/>
      <c r="AE78" s="195"/>
      <c r="AF78" s="194"/>
      <c r="AG78" s="196"/>
      <c r="AH78" s="196"/>
      <c r="AI78" s="200"/>
      <c r="AJ78" s="201"/>
      <c r="AK78" s="812"/>
    </row>
    <row r="79" spans="2:37" s="808" customFormat="1" ht="15.75" customHeight="1">
      <c r="B79" s="811">
        <v>34</v>
      </c>
      <c r="C79" s="202"/>
      <c r="D79" s="202"/>
      <c r="E79" s="190"/>
      <c r="F79" s="202"/>
      <c r="G79" s="203"/>
      <c r="H79" s="191"/>
      <c r="I79" s="203"/>
      <c r="J79" s="204"/>
      <c r="K79" s="205"/>
      <c r="L79" s="204"/>
      <c r="M79" s="206"/>
      <c r="N79" s="206"/>
      <c r="O79" s="206"/>
      <c r="P79" s="207"/>
      <c r="Q79" s="206"/>
      <c r="R79" s="208"/>
      <c r="S79" s="208"/>
      <c r="T79" s="208"/>
      <c r="U79" s="207"/>
      <c r="V79" s="192"/>
      <c r="W79" s="196"/>
      <c r="X79" s="196"/>
      <c r="Y79" s="196"/>
      <c r="Z79" s="195"/>
      <c r="AA79" s="192"/>
      <c r="AB79" s="196"/>
      <c r="AC79" s="196"/>
      <c r="AD79" s="196"/>
      <c r="AE79" s="195"/>
      <c r="AF79" s="194"/>
      <c r="AG79" s="196"/>
      <c r="AH79" s="196"/>
      <c r="AI79" s="200"/>
      <c r="AJ79" s="201"/>
      <c r="AK79" s="812"/>
    </row>
    <row r="80" spans="2:37" s="808" customFormat="1" ht="15.75" customHeight="1">
      <c r="B80" s="811">
        <v>35</v>
      </c>
      <c r="C80" s="202"/>
      <c r="D80" s="202"/>
      <c r="E80" s="190"/>
      <c r="F80" s="202"/>
      <c r="G80" s="203"/>
      <c r="H80" s="191"/>
      <c r="I80" s="203"/>
      <c r="J80" s="204"/>
      <c r="K80" s="205"/>
      <c r="L80" s="204"/>
      <c r="M80" s="206"/>
      <c r="N80" s="206"/>
      <c r="O80" s="206"/>
      <c r="P80" s="207"/>
      <c r="Q80" s="206"/>
      <c r="R80" s="208"/>
      <c r="S80" s="208"/>
      <c r="T80" s="208"/>
      <c r="U80" s="207"/>
      <c r="V80" s="192"/>
      <c r="W80" s="196"/>
      <c r="X80" s="196"/>
      <c r="Y80" s="196"/>
      <c r="Z80" s="195"/>
      <c r="AA80" s="192"/>
      <c r="AB80" s="196"/>
      <c r="AC80" s="196"/>
      <c r="AD80" s="196"/>
      <c r="AE80" s="195"/>
      <c r="AF80" s="194"/>
      <c r="AG80" s="196"/>
      <c r="AH80" s="196"/>
      <c r="AI80" s="200"/>
      <c r="AJ80" s="201"/>
      <c r="AK80" s="812"/>
    </row>
    <row r="81" spans="2:37" s="808" customFormat="1" ht="15.75" customHeight="1">
      <c r="B81" s="811">
        <v>36</v>
      </c>
      <c r="C81" s="202"/>
      <c r="D81" s="202"/>
      <c r="E81" s="190"/>
      <c r="F81" s="202"/>
      <c r="G81" s="203"/>
      <c r="H81" s="191"/>
      <c r="I81" s="203"/>
      <c r="J81" s="204"/>
      <c r="K81" s="205"/>
      <c r="L81" s="204"/>
      <c r="M81" s="206"/>
      <c r="N81" s="206"/>
      <c r="O81" s="206"/>
      <c r="P81" s="207"/>
      <c r="Q81" s="206"/>
      <c r="R81" s="208"/>
      <c r="S81" s="208"/>
      <c r="T81" s="208"/>
      <c r="U81" s="207"/>
      <c r="V81" s="192"/>
      <c r="W81" s="196"/>
      <c r="X81" s="196"/>
      <c r="Y81" s="196"/>
      <c r="Z81" s="195"/>
      <c r="AA81" s="192"/>
      <c r="AB81" s="196"/>
      <c r="AC81" s="196"/>
      <c r="AD81" s="196"/>
      <c r="AE81" s="195"/>
      <c r="AF81" s="194"/>
      <c r="AG81" s="196"/>
      <c r="AH81" s="196"/>
      <c r="AI81" s="200"/>
      <c r="AJ81" s="201"/>
      <c r="AK81" s="812"/>
    </row>
    <row r="82" spans="2:37" s="808" customFormat="1" ht="15.75" customHeight="1">
      <c r="B82" s="811">
        <v>37</v>
      </c>
      <c r="C82" s="202"/>
      <c r="D82" s="202"/>
      <c r="E82" s="190"/>
      <c r="F82" s="202"/>
      <c r="G82" s="203"/>
      <c r="H82" s="191"/>
      <c r="I82" s="203"/>
      <c r="J82" s="204"/>
      <c r="K82" s="205"/>
      <c r="L82" s="204"/>
      <c r="M82" s="206"/>
      <c r="N82" s="206"/>
      <c r="O82" s="206"/>
      <c r="P82" s="207"/>
      <c r="Q82" s="206"/>
      <c r="R82" s="208"/>
      <c r="S82" s="208"/>
      <c r="T82" s="208"/>
      <c r="U82" s="207"/>
      <c r="V82" s="192"/>
      <c r="W82" s="196"/>
      <c r="X82" s="196"/>
      <c r="Y82" s="196"/>
      <c r="Z82" s="195"/>
      <c r="AA82" s="192"/>
      <c r="AB82" s="196"/>
      <c r="AC82" s="196"/>
      <c r="AD82" s="196"/>
      <c r="AE82" s="195"/>
      <c r="AF82" s="194"/>
      <c r="AG82" s="196"/>
      <c r="AH82" s="196"/>
      <c r="AI82" s="200"/>
      <c r="AJ82" s="201"/>
      <c r="AK82" s="812"/>
    </row>
    <row r="83" spans="2:37" s="808" customFormat="1" ht="15.75" customHeight="1">
      <c r="B83" s="811">
        <v>38</v>
      </c>
      <c r="C83" s="202"/>
      <c r="D83" s="202"/>
      <c r="E83" s="190"/>
      <c r="F83" s="202"/>
      <c r="G83" s="203"/>
      <c r="H83" s="191"/>
      <c r="I83" s="203"/>
      <c r="J83" s="204"/>
      <c r="K83" s="205"/>
      <c r="L83" s="204"/>
      <c r="M83" s="206"/>
      <c r="N83" s="206"/>
      <c r="O83" s="206"/>
      <c r="P83" s="207"/>
      <c r="Q83" s="206"/>
      <c r="R83" s="208"/>
      <c r="S83" s="208"/>
      <c r="T83" s="208"/>
      <c r="U83" s="207"/>
      <c r="V83" s="192"/>
      <c r="W83" s="196"/>
      <c r="X83" s="196"/>
      <c r="Y83" s="196"/>
      <c r="Z83" s="195"/>
      <c r="AA83" s="192"/>
      <c r="AB83" s="196"/>
      <c r="AC83" s="196"/>
      <c r="AD83" s="196"/>
      <c r="AE83" s="195"/>
      <c r="AF83" s="194"/>
      <c r="AG83" s="196"/>
      <c r="AH83" s="196"/>
      <c r="AI83" s="200"/>
      <c r="AJ83" s="201"/>
      <c r="AK83" s="812"/>
    </row>
    <row r="84" spans="2:37" s="808" customFormat="1" ht="15.75" customHeight="1">
      <c r="B84" s="811">
        <v>39</v>
      </c>
      <c r="C84" s="202"/>
      <c r="D84" s="202"/>
      <c r="E84" s="190"/>
      <c r="F84" s="202"/>
      <c r="G84" s="203"/>
      <c r="H84" s="191"/>
      <c r="I84" s="203"/>
      <c r="J84" s="204"/>
      <c r="K84" s="205"/>
      <c r="L84" s="204"/>
      <c r="M84" s="206"/>
      <c r="N84" s="206"/>
      <c r="O84" s="206"/>
      <c r="P84" s="207"/>
      <c r="Q84" s="206"/>
      <c r="R84" s="208"/>
      <c r="S84" s="208"/>
      <c r="T84" s="208"/>
      <c r="U84" s="207"/>
      <c r="V84" s="192"/>
      <c r="W84" s="196"/>
      <c r="X84" s="196"/>
      <c r="Y84" s="196"/>
      <c r="Z84" s="195"/>
      <c r="AA84" s="192"/>
      <c r="AB84" s="196"/>
      <c r="AC84" s="196"/>
      <c r="AD84" s="196"/>
      <c r="AE84" s="195"/>
      <c r="AF84" s="194"/>
      <c r="AG84" s="196"/>
      <c r="AH84" s="196"/>
      <c r="AI84" s="200"/>
      <c r="AJ84" s="201"/>
      <c r="AK84" s="812"/>
    </row>
    <row r="85" spans="2:37" s="808" customFormat="1" ht="15.75" customHeight="1">
      <c r="B85" s="811">
        <v>40</v>
      </c>
      <c r="C85" s="202"/>
      <c r="D85" s="202"/>
      <c r="E85" s="190"/>
      <c r="F85" s="202"/>
      <c r="G85" s="203"/>
      <c r="H85" s="191"/>
      <c r="I85" s="203"/>
      <c r="J85" s="204"/>
      <c r="K85" s="205"/>
      <c r="L85" s="204"/>
      <c r="M85" s="206"/>
      <c r="N85" s="206"/>
      <c r="O85" s="206"/>
      <c r="P85" s="207"/>
      <c r="Q85" s="206"/>
      <c r="R85" s="208"/>
      <c r="S85" s="208"/>
      <c r="T85" s="208"/>
      <c r="U85" s="207"/>
      <c r="V85" s="192"/>
      <c r="W85" s="196"/>
      <c r="X85" s="196"/>
      <c r="Y85" s="196"/>
      <c r="Z85" s="195"/>
      <c r="AA85" s="192"/>
      <c r="AB85" s="196"/>
      <c r="AC85" s="196"/>
      <c r="AD85" s="196"/>
      <c r="AE85" s="195"/>
      <c r="AF85" s="194"/>
      <c r="AG85" s="196"/>
      <c r="AH85" s="196"/>
      <c r="AI85" s="200"/>
      <c r="AJ85" s="201"/>
      <c r="AK85" s="812"/>
    </row>
    <row r="86" spans="2:37" s="808" customFormat="1" ht="15.75" customHeight="1">
      <c r="B86" s="811">
        <v>41</v>
      </c>
      <c r="C86" s="202"/>
      <c r="D86" s="202"/>
      <c r="E86" s="190"/>
      <c r="F86" s="202"/>
      <c r="G86" s="203"/>
      <c r="H86" s="191"/>
      <c r="I86" s="203"/>
      <c r="J86" s="204"/>
      <c r="K86" s="205"/>
      <c r="L86" s="204"/>
      <c r="M86" s="206"/>
      <c r="N86" s="206"/>
      <c r="O86" s="206"/>
      <c r="P86" s="207"/>
      <c r="Q86" s="206"/>
      <c r="R86" s="208"/>
      <c r="S86" s="208"/>
      <c r="T86" s="208"/>
      <c r="U86" s="207"/>
      <c r="V86" s="192"/>
      <c r="W86" s="196"/>
      <c r="X86" s="196"/>
      <c r="Y86" s="196"/>
      <c r="Z86" s="195"/>
      <c r="AA86" s="192"/>
      <c r="AB86" s="196"/>
      <c r="AC86" s="196"/>
      <c r="AD86" s="196"/>
      <c r="AE86" s="195"/>
      <c r="AF86" s="194"/>
      <c r="AG86" s="196"/>
      <c r="AH86" s="196"/>
      <c r="AI86" s="200"/>
      <c r="AJ86" s="201"/>
      <c r="AK86" s="812"/>
    </row>
    <row r="87" spans="2:37" s="808" customFormat="1" ht="15.75" customHeight="1">
      <c r="B87" s="811">
        <v>42</v>
      </c>
      <c r="C87" s="202"/>
      <c r="D87" s="202"/>
      <c r="E87" s="190"/>
      <c r="F87" s="202"/>
      <c r="G87" s="203"/>
      <c r="H87" s="191"/>
      <c r="I87" s="203"/>
      <c r="J87" s="204"/>
      <c r="K87" s="205"/>
      <c r="L87" s="204"/>
      <c r="M87" s="206"/>
      <c r="N87" s="206"/>
      <c r="O87" s="206"/>
      <c r="P87" s="207"/>
      <c r="Q87" s="206"/>
      <c r="R87" s="208"/>
      <c r="S87" s="208"/>
      <c r="T87" s="208"/>
      <c r="U87" s="207"/>
      <c r="V87" s="192"/>
      <c r="W87" s="196"/>
      <c r="X87" s="196"/>
      <c r="Y87" s="196"/>
      <c r="Z87" s="195"/>
      <c r="AA87" s="192"/>
      <c r="AB87" s="196"/>
      <c r="AC87" s="196"/>
      <c r="AD87" s="196"/>
      <c r="AE87" s="195"/>
      <c r="AF87" s="194"/>
      <c r="AG87" s="196"/>
      <c r="AH87" s="196"/>
      <c r="AI87" s="200"/>
      <c r="AJ87" s="201"/>
      <c r="AK87" s="812"/>
    </row>
    <row r="88" spans="2:37" s="808" customFormat="1" ht="15.75" customHeight="1">
      <c r="B88" s="811">
        <v>43</v>
      </c>
      <c r="C88" s="202"/>
      <c r="D88" s="202"/>
      <c r="E88" s="190"/>
      <c r="F88" s="202"/>
      <c r="G88" s="203"/>
      <c r="H88" s="191"/>
      <c r="I88" s="203"/>
      <c r="J88" s="204"/>
      <c r="K88" s="205"/>
      <c r="L88" s="204"/>
      <c r="M88" s="206"/>
      <c r="N88" s="206"/>
      <c r="O88" s="206"/>
      <c r="P88" s="207"/>
      <c r="Q88" s="206"/>
      <c r="R88" s="208"/>
      <c r="S88" s="208"/>
      <c r="T88" s="208"/>
      <c r="U88" s="207"/>
      <c r="V88" s="192"/>
      <c r="W88" s="196"/>
      <c r="X88" s="196"/>
      <c r="Y88" s="196"/>
      <c r="Z88" s="195"/>
      <c r="AA88" s="192"/>
      <c r="AB88" s="196"/>
      <c r="AC88" s="196"/>
      <c r="AD88" s="196"/>
      <c r="AE88" s="195"/>
      <c r="AF88" s="194"/>
      <c r="AG88" s="196"/>
      <c r="AH88" s="196"/>
      <c r="AI88" s="200"/>
      <c r="AJ88" s="201"/>
      <c r="AK88" s="812"/>
    </row>
    <row r="89" spans="2:37" s="808" customFormat="1" ht="15.75" customHeight="1">
      <c r="B89" s="811">
        <v>44</v>
      </c>
      <c r="C89" s="202"/>
      <c r="D89" s="202"/>
      <c r="E89" s="190"/>
      <c r="F89" s="202"/>
      <c r="G89" s="203"/>
      <c r="H89" s="191"/>
      <c r="I89" s="203"/>
      <c r="J89" s="204"/>
      <c r="K89" s="205"/>
      <c r="L89" s="204"/>
      <c r="M89" s="206"/>
      <c r="N89" s="206"/>
      <c r="O89" s="206"/>
      <c r="P89" s="207"/>
      <c r="Q89" s="206"/>
      <c r="R89" s="208"/>
      <c r="S89" s="208"/>
      <c r="T89" s="208"/>
      <c r="U89" s="207"/>
      <c r="V89" s="192"/>
      <c r="W89" s="196"/>
      <c r="X89" s="196"/>
      <c r="Y89" s="196"/>
      <c r="Z89" s="195"/>
      <c r="AA89" s="192"/>
      <c r="AB89" s="196"/>
      <c r="AC89" s="196"/>
      <c r="AD89" s="196"/>
      <c r="AE89" s="195"/>
      <c r="AF89" s="194"/>
      <c r="AG89" s="196"/>
      <c r="AH89" s="196"/>
      <c r="AI89" s="200"/>
      <c r="AJ89" s="201"/>
      <c r="AK89" s="812"/>
    </row>
    <row r="90" spans="2:37" s="808" customFormat="1" ht="15.75" customHeight="1">
      <c r="B90" s="811">
        <v>45</v>
      </c>
      <c r="C90" s="202"/>
      <c r="D90" s="202"/>
      <c r="E90" s="190"/>
      <c r="F90" s="202"/>
      <c r="G90" s="203"/>
      <c r="H90" s="191"/>
      <c r="I90" s="203"/>
      <c r="J90" s="204"/>
      <c r="K90" s="205"/>
      <c r="L90" s="204"/>
      <c r="M90" s="206"/>
      <c r="N90" s="206"/>
      <c r="O90" s="206"/>
      <c r="P90" s="207"/>
      <c r="Q90" s="206"/>
      <c r="R90" s="208"/>
      <c r="S90" s="208"/>
      <c r="T90" s="208"/>
      <c r="U90" s="207"/>
      <c r="V90" s="192"/>
      <c r="W90" s="196"/>
      <c r="X90" s="196"/>
      <c r="Y90" s="196"/>
      <c r="Z90" s="195"/>
      <c r="AA90" s="192"/>
      <c r="AB90" s="196"/>
      <c r="AC90" s="196"/>
      <c r="AD90" s="196"/>
      <c r="AE90" s="195"/>
      <c r="AF90" s="194"/>
      <c r="AG90" s="196"/>
      <c r="AH90" s="196"/>
      <c r="AI90" s="200"/>
      <c r="AJ90" s="201"/>
      <c r="AK90" s="812"/>
    </row>
    <row r="91" spans="2:37" s="808" customFormat="1" ht="15.75" customHeight="1">
      <c r="B91" s="811">
        <v>46</v>
      </c>
      <c r="C91" s="202"/>
      <c r="D91" s="202"/>
      <c r="E91" s="190"/>
      <c r="F91" s="202"/>
      <c r="G91" s="203"/>
      <c r="H91" s="191"/>
      <c r="I91" s="203"/>
      <c r="J91" s="204"/>
      <c r="K91" s="205"/>
      <c r="L91" s="204"/>
      <c r="M91" s="206"/>
      <c r="N91" s="206"/>
      <c r="O91" s="206"/>
      <c r="P91" s="207"/>
      <c r="Q91" s="206"/>
      <c r="R91" s="208"/>
      <c r="S91" s="208"/>
      <c r="T91" s="208"/>
      <c r="U91" s="207"/>
      <c r="V91" s="192"/>
      <c r="W91" s="196"/>
      <c r="X91" s="196"/>
      <c r="Y91" s="196"/>
      <c r="Z91" s="195"/>
      <c r="AA91" s="192"/>
      <c r="AB91" s="196"/>
      <c r="AC91" s="196"/>
      <c r="AD91" s="196"/>
      <c r="AE91" s="195"/>
      <c r="AF91" s="194"/>
      <c r="AG91" s="196"/>
      <c r="AH91" s="196"/>
      <c r="AI91" s="200"/>
      <c r="AJ91" s="201"/>
      <c r="AK91" s="812"/>
    </row>
    <row r="92" spans="2:37" s="808" customFormat="1" ht="15.75" customHeight="1">
      <c r="B92" s="811">
        <v>47</v>
      </c>
      <c r="C92" s="202"/>
      <c r="D92" s="202"/>
      <c r="E92" s="190"/>
      <c r="F92" s="202"/>
      <c r="G92" s="203"/>
      <c r="H92" s="191"/>
      <c r="I92" s="203"/>
      <c r="J92" s="204"/>
      <c r="K92" s="205"/>
      <c r="L92" s="204"/>
      <c r="M92" s="206"/>
      <c r="N92" s="206"/>
      <c r="O92" s="206"/>
      <c r="P92" s="207"/>
      <c r="Q92" s="206"/>
      <c r="R92" s="208"/>
      <c r="S92" s="208"/>
      <c r="T92" s="208"/>
      <c r="U92" s="207"/>
      <c r="V92" s="192"/>
      <c r="W92" s="196"/>
      <c r="X92" s="196"/>
      <c r="Y92" s="196"/>
      <c r="Z92" s="195"/>
      <c r="AA92" s="192"/>
      <c r="AB92" s="196"/>
      <c r="AC92" s="196"/>
      <c r="AD92" s="196"/>
      <c r="AE92" s="195"/>
      <c r="AF92" s="194"/>
      <c r="AG92" s="196"/>
      <c r="AH92" s="196"/>
      <c r="AI92" s="200"/>
      <c r="AJ92" s="201"/>
      <c r="AK92" s="812"/>
    </row>
    <row r="93" spans="2:37" s="808" customFormat="1" ht="15.75" customHeight="1">
      <c r="B93" s="811">
        <v>48</v>
      </c>
      <c r="C93" s="202"/>
      <c r="D93" s="202"/>
      <c r="E93" s="190"/>
      <c r="F93" s="202"/>
      <c r="G93" s="203"/>
      <c r="H93" s="191"/>
      <c r="I93" s="203"/>
      <c r="J93" s="204"/>
      <c r="K93" s="205"/>
      <c r="L93" s="204"/>
      <c r="M93" s="206"/>
      <c r="N93" s="206"/>
      <c r="O93" s="206"/>
      <c r="P93" s="207"/>
      <c r="Q93" s="206"/>
      <c r="R93" s="208"/>
      <c r="S93" s="208"/>
      <c r="T93" s="208"/>
      <c r="U93" s="207"/>
      <c r="V93" s="192"/>
      <c r="W93" s="196"/>
      <c r="X93" s="196"/>
      <c r="Y93" s="196"/>
      <c r="Z93" s="195"/>
      <c r="AA93" s="192"/>
      <c r="AB93" s="196"/>
      <c r="AC93" s="196"/>
      <c r="AD93" s="196"/>
      <c r="AE93" s="195"/>
      <c r="AF93" s="194"/>
      <c r="AG93" s="196"/>
      <c r="AH93" s="196"/>
      <c r="AI93" s="200"/>
      <c r="AJ93" s="201"/>
      <c r="AK93" s="812"/>
    </row>
    <row r="94" spans="2:37" s="808" customFormat="1" ht="15.75" customHeight="1">
      <c r="B94" s="811">
        <v>49</v>
      </c>
      <c r="C94" s="202"/>
      <c r="D94" s="202"/>
      <c r="E94" s="190"/>
      <c r="F94" s="202"/>
      <c r="G94" s="203"/>
      <c r="H94" s="191"/>
      <c r="I94" s="203"/>
      <c r="J94" s="204"/>
      <c r="K94" s="205"/>
      <c r="L94" s="204"/>
      <c r="M94" s="206"/>
      <c r="N94" s="206"/>
      <c r="O94" s="206"/>
      <c r="P94" s="207"/>
      <c r="Q94" s="206"/>
      <c r="R94" s="208"/>
      <c r="S94" s="208"/>
      <c r="T94" s="208"/>
      <c r="U94" s="207"/>
      <c r="V94" s="192"/>
      <c r="W94" s="196"/>
      <c r="X94" s="196"/>
      <c r="Y94" s="196"/>
      <c r="Z94" s="195"/>
      <c r="AA94" s="192"/>
      <c r="AB94" s="196"/>
      <c r="AC94" s="196"/>
      <c r="AD94" s="196"/>
      <c r="AE94" s="195"/>
      <c r="AF94" s="194"/>
      <c r="AG94" s="196"/>
      <c r="AH94" s="196"/>
      <c r="AI94" s="200"/>
      <c r="AJ94" s="201"/>
      <c r="AK94" s="812"/>
    </row>
    <row r="95" spans="2:37" s="808" customFormat="1" ht="15.75" customHeight="1">
      <c r="B95" s="811">
        <v>50</v>
      </c>
      <c r="C95" s="202"/>
      <c r="D95" s="202"/>
      <c r="E95" s="190"/>
      <c r="F95" s="202"/>
      <c r="G95" s="203"/>
      <c r="H95" s="191"/>
      <c r="I95" s="203"/>
      <c r="J95" s="204"/>
      <c r="K95" s="205"/>
      <c r="L95" s="204"/>
      <c r="M95" s="206"/>
      <c r="N95" s="206"/>
      <c r="O95" s="206"/>
      <c r="P95" s="207"/>
      <c r="Q95" s="206"/>
      <c r="R95" s="208"/>
      <c r="S95" s="208"/>
      <c r="T95" s="208"/>
      <c r="U95" s="207"/>
      <c r="V95" s="192"/>
      <c r="W95" s="196"/>
      <c r="X95" s="196"/>
      <c r="Y95" s="196"/>
      <c r="Z95" s="195"/>
      <c r="AA95" s="192"/>
      <c r="AB95" s="196"/>
      <c r="AC95" s="196"/>
      <c r="AD95" s="196"/>
      <c r="AE95" s="195"/>
      <c r="AF95" s="194"/>
      <c r="AG95" s="196"/>
      <c r="AH95" s="196"/>
      <c r="AI95" s="200"/>
      <c r="AJ95" s="201"/>
      <c r="AK95" s="812"/>
    </row>
    <row r="96" spans="2:37" s="808" customFormat="1" ht="15.75" customHeight="1">
      <c r="B96" s="811">
        <v>51</v>
      </c>
      <c r="C96" s="202"/>
      <c r="D96" s="202"/>
      <c r="E96" s="190"/>
      <c r="F96" s="202"/>
      <c r="G96" s="203"/>
      <c r="H96" s="191"/>
      <c r="I96" s="203"/>
      <c r="J96" s="204"/>
      <c r="K96" s="205"/>
      <c r="L96" s="204"/>
      <c r="M96" s="206"/>
      <c r="N96" s="206"/>
      <c r="O96" s="206"/>
      <c r="P96" s="207"/>
      <c r="Q96" s="206"/>
      <c r="R96" s="208"/>
      <c r="S96" s="208"/>
      <c r="T96" s="208"/>
      <c r="U96" s="207"/>
      <c r="V96" s="192"/>
      <c r="W96" s="196"/>
      <c r="X96" s="196"/>
      <c r="Y96" s="196"/>
      <c r="Z96" s="195"/>
      <c r="AA96" s="192"/>
      <c r="AB96" s="196"/>
      <c r="AC96" s="196"/>
      <c r="AD96" s="196"/>
      <c r="AE96" s="195"/>
      <c r="AF96" s="194"/>
      <c r="AG96" s="196"/>
      <c r="AH96" s="196"/>
      <c r="AI96" s="200"/>
      <c r="AJ96" s="201"/>
      <c r="AK96" s="812"/>
    </row>
    <row r="97" spans="2:37" s="808" customFormat="1" ht="15.75" customHeight="1" thickBot="1">
      <c r="B97" s="811">
        <v>52</v>
      </c>
      <c r="C97" s="202"/>
      <c r="D97" s="202"/>
      <c r="E97" s="202"/>
      <c r="F97" s="202"/>
      <c r="G97" s="203"/>
      <c r="H97" s="203"/>
      <c r="I97" s="203"/>
      <c r="J97" s="204"/>
      <c r="K97" s="205"/>
      <c r="L97" s="204"/>
      <c r="M97" s="206"/>
      <c r="N97" s="206"/>
      <c r="O97" s="206"/>
      <c r="P97" s="207"/>
      <c r="Q97" s="206"/>
      <c r="R97" s="208"/>
      <c r="S97" s="208"/>
      <c r="T97" s="208"/>
      <c r="U97" s="207"/>
      <c r="V97" s="813"/>
      <c r="W97" s="814"/>
      <c r="X97" s="814"/>
      <c r="Y97" s="814"/>
      <c r="Z97" s="815"/>
      <c r="AA97" s="813"/>
      <c r="AB97" s="814"/>
      <c r="AC97" s="814"/>
      <c r="AD97" s="814"/>
      <c r="AE97" s="815"/>
      <c r="AF97" s="194"/>
      <c r="AG97" s="196"/>
      <c r="AH97" s="196"/>
      <c r="AI97" s="200"/>
      <c r="AJ97" s="201"/>
      <c r="AK97" s="812"/>
    </row>
    <row r="98" spans="2:37" s="808" customFormat="1" ht="15.75" customHeight="1">
      <c r="B98" s="811">
        <v>53</v>
      </c>
      <c r="C98" s="202"/>
      <c r="D98" s="202"/>
      <c r="E98" s="190"/>
      <c r="F98" s="202"/>
      <c r="G98" s="203"/>
      <c r="H98" s="191"/>
      <c r="I98" s="203"/>
      <c r="J98" s="204"/>
      <c r="K98" s="205"/>
      <c r="L98" s="204"/>
      <c r="M98" s="206"/>
      <c r="N98" s="206"/>
      <c r="O98" s="206"/>
      <c r="P98" s="207"/>
      <c r="Q98" s="206"/>
      <c r="R98" s="208"/>
      <c r="S98" s="208"/>
      <c r="T98" s="208"/>
      <c r="U98" s="207"/>
      <c r="V98" s="192"/>
      <c r="W98" s="196"/>
      <c r="X98" s="196"/>
      <c r="Y98" s="196"/>
      <c r="Z98" s="195"/>
      <c r="AA98" s="192"/>
      <c r="AB98" s="196"/>
      <c r="AC98" s="196"/>
      <c r="AD98" s="196"/>
      <c r="AE98" s="195"/>
      <c r="AF98" s="194"/>
      <c r="AG98" s="196"/>
      <c r="AH98" s="196"/>
      <c r="AI98" s="200"/>
      <c r="AJ98" s="201"/>
      <c r="AK98" s="812"/>
    </row>
    <row r="99" spans="2:37" s="808" customFormat="1" ht="15.75" customHeight="1">
      <c r="B99" s="811">
        <v>54</v>
      </c>
      <c r="C99" s="202"/>
      <c r="D99" s="202"/>
      <c r="E99" s="190"/>
      <c r="F99" s="202"/>
      <c r="G99" s="203"/>
      <c r="H99" s="191"/>
      <c r="I99" s="203"/>
      <c r="J99" s="204"/>
      <c r="K99" s="205"/>
      <c r="L99" s="204"/>
      <c r="M99" s="206"/>
      <c r="N99" s="206"/>
      <c r="O99" s="206"/>
      <c r="P99" s="207"/>
      <c r="Q99" s="206"/>
      <c r="R99" s="208"/>
      <c r="S99" s="208"/>
      <c r="T99" s="208"/>
      <c r="U99" s="207"/>
      <c r="V99" s="192"/>
      <c r="W99" s="196"/>
      <c r="X99" s="196"/>
      <c r="Y99" s="196"/>
      <c r="Z99" s="195"/>
      <c r="AA99" s="192"/>
      <c r="AB99" s="196"/>
      <c r="AC99" s="196"/>
      <c r="AD99" s="196"/>
      <c r="AE99" s="195"/>
      <c r="AF99" s="194"/>
      <c r="AG99" s="196"/>
      <c r="AH99" s="196"/>
      <c r="AI99" s="200"/>
      <c r="AJ99" s="201"/>
      <c r="AK99" s="812"/>
    </row>
    <row r="100" spans="2:37" s="808" customFormat="1" ht="15.75" customHeight="1">
      <c r="B100" s="811">
        <v>55</v>
      </c>
      <c r="C100" s="202"/>
      <c r="D100" s="202"/>
      <c r="E100" s="190"/>
      <c r="F100" s="202"/>
      <c r="G100" s="203"/>
      <c r="H100" s="191"/>
      <c r="I100" s="203"/>
      <c r="J100" s="204"/>
      <c r="K100" s="205"/>
      <c r="L100" s="204"/>
      <c r="M100" s="206"/>
      <c r="N100" s="206"/>
      <c r="O100" s="206"/>
      <c r="P100" s="207"/>
      <c r="Q100" s="206"/>
      <c r="R100" s="208"/>
      <c r="S100" s="208"/>
      <c r="T100" s="208"/>
      <c r="U100" s="207"/>
      <c r="V100" s="192"/>
      <c r="W100" s="196"/>
      <c r="X100" s="196"/>
      <c r="Y100" s="196"/>
      <c r="Z100" s="195"/>
      <c r="AA100" s="192"/>
      <c r="AB100" s="196"/>
      <c r="AC100" s="196"/>
      <c r="AD100" s="196"/>
      <c r="AE100" s="195"/>
      <c r="AF100" s="194"/>
      <c r="AG100" s="196"/>
      <c r="AH100" s="196"/>
      <c r="AI100" s="200"/>
      <c r="AJ100" s="201"/>
      <c r="AK100" s="812"/>
    </row>
    <row r="101" spans="2:37" s="808" customFormat="1" ht="15.75" customHeight="1">
      <c r="B101" s="811">
        <v>56</v>
      </c>
      <c r="C101" s="202"/>
      <c r="D101" s="202"/>
      <c r="E101" s="190"/>
      <c r="F101" s="202"/>
      <c r="G101" s="203"/>
      <c r="H101" s="191"/>
      <c r="I101" s="203"/>
      <c r="J101" s="204"/>
      <c r="K101" s="205"/>
      <c r="L101" s="204"/>
      <c r="M101" s="206"/>
      <c r="N101" s="206"/>
      <c r="O101" s="206"/>
      <c r="P101" s="207"/>
      <c r="Q101" s="206"/>
      <c r="R101" s="208"/>
      <c r="S101" s="208"/>
      <c r="T101" s="208"/>
      <c r="U101" s="207"/>
      <c r="V101" s="192"/>
      <c r="W101" s="196"/>
      <c r="X101" s="196"/>
      <c r="Y101" s="196"/>
      <c r="Z101" s="195"/>
      <c r="AA101" s="192"/>
      <c r="AB101" s="196"/>
      <c r="AC101" s="196"/>
      <c r="AD101" s="196"/>
      <c r="AE101" s="195"/>
      <c r="AF101" s="194"/>
      <c r="AG101" s="196"/>
      <c r="AH101" s="196"/>
      <c r="AI101" s="200"/>
      <c r="AJ101" s="201"/>
      <c r="AK101" s="812"/>
    </row>
    <row r="102" spans="2:37" s="808" customFormat="1" ht="15.75" customHeight="1">
      <c r="B102" s="811">
        <v>57</v>
      </c>
      <c r="C102" s="202"/>
      <c r="D102" s="202"/>
      <c r="E102" s="190"/>
      <c r="F102" s="202"/>
      <c r="G102" s="203"/>
      <c r="H102" s="191"/>
      <c r="I102" s="203"/>
      <c r="J102" s="204"/>
      <c r="K102" s="205"/>
      <c r="L102" s="204"/>
      <c r="M102" s="206"/>
      <c r="N102" s="206"/>
      <c r="O102" s="206"/>
      <c r="P102" s="207"/>
      <c r="Q102" s="206"/>
      <c r="R102" s="208"/>
      <c r="S102" s="208"/>
      <c r="T102" s="208"/>
      <c r="U102" s="207"/>
      <c r="V102" s="192"/>
      <c r="W102" s="196"/>
      <c r="X102" s="196"/>
      <c r="Y102" s="196"/>
      <c r="Z102" s="195"/>
      <c r="AA102" s="192"/>
      <c r="AB102" s="196"/>
      <c r="AC102" s="196"/>
      <c r="AD102" s="196"/>
      <c r="AE102" s="195"/>
      <c r="AF102" s="194"/>
      <c r="AG102" s="196"/>
      <c r="AH102" s="196"/>
      <c r="AI102" s="200"/>
      <c r="AJ102" s="201"/>
      <c r="AK102" s="812"/>
    </row>
    <row r="103" spans="2:37" s="808" customFormat="1" ht="15.75" customHeight="1">
      <c r="B103" s="811">
        <v>58</v>
      </c>
      <c r="C103" s="202"/>
      <c r="D103" s="202"/>
      <c r="E103" s="190"/>
      <c r="F103" s="202"/>
      <c r="G103" s="203"/>
      <c r="H103" s="191"/>
      <c r="I103" s="203"/>
      <c r="J103" s="204"/>
      <c r="K103" s="205"/>
      <c r="L103" s="204"/>
      <c r="M103" s="206"/>
      <c r="N103" s="206"/>
      <c r="O103" s="206"/>
      <c r="P103" s="207"/>
      <c r="Q103" s="206"/>
      <c r="R103" s="208"/>
      <c r="S103" s="208"/>
      <c r="T103" s="208"/>
      <c r="U103" s="207"/>
      <c r="V103" s="192"/>
      <c r="W103" s="196"/>
      <c r="X103" s="196"/>
      <c r="Y103" s="196"/>
      <c r="Z103" s="195"/>
      <c r="AA103" s="192"/>
      <c r="AB103" s="196"/>
      <c r="AC103" s="196"/>
      <c r="AD103" s="196"/>
      <c r="AE103" s="195"/>
      <c r="AF103" s="194"/>
      <c r="AG103" s="196"/>
      <c r="AH103" s="196"/>
      <c r="AI103" s="200"/>
      <c r="AJ103" s="201"/>
      <c r="AK103" s="812"/>
    </row>
    <row r="104" spans="2:37" s="808" customFormat="1" ht="15.75" customHeight="1">
      <c r="B104" s="811">
        <v>59</v>
      </c>
      <c r="C104" s="202"/>
      <c r="D104" s="202"/>
      <c r="E104" s="190"/>
      <c r="F104" s="202"/>
      <c r="G104" s="203"/>
      <c r="H104" s="191"/>
      <c r="I104" s="203"/>
      <c r="J104" s="204"/>
      <c r="K104" s="205"/>
      <c r="L104" s="204"/>
      <c r="M104" s="206"/>
      <c r="N104" s="206"/>
      <c r="O104" s="206"/>
      <c r="P104" s="207"/>
      <c r="Q104" s="206"/>
      <c r="R104" s="208"/>
      <c r="S104" s="208"/>
      <c r="T104" s="208"/>
      <c r="U104" s="207"/>
      <c r="V104" s="192"/>
      <c r="W104" s="196"/>
      <c r="X104" s="196"/>
      <c r="Y104" s="196"/>
      <c r="Z104" s="195"/>
      <c r="AA104" s="192"/>
      <c r="AB104" s="196"/>
      <c r="AC104" s="196"/>
      <c r="AD104" s="196"/>
      <c r="AE104" s="195"/>
      <c r="AF104" s="194"/>
      <c r="AG104" s="196"/>
      <c r="AH104" s="196"/>
      <c r="AI104" s="200"/>
      <c r="AJ104" s="201"/>
      <c r="AK104" s="812"/>
    </row>
    <row r="105" spans="2:37" s="808" customFormat="1" ht="15.75" customHeight="1">
      <c r="B105" s="811">
        <v>60</v>
      </c>
      <c r="C105" s="202"/>
      <c r="D105" s="202"/>
      <c r="E105" s="190"/>
      <c r="F105" s="202"/>
      <c r="G105" s="203"/>
      <c r="H105" s="191"/>
      <c r="I105" s="203"/>
      <c r="J105" s="204"/>
      <c r="K105" s="205"/>
      <c r="L105" s="204"/>
      <c r="M105" s="206"/>
      <c r="N105" s="206"/>
      <c r="O105" s="206"/>
      <c r="P105" s="207"/>
      <c r="Q105" s="206"/>
      <c r="R105" s="208"/>
      <c r="S105" s="208"/>
      <c r="T105" s="208"/>
      <c r="U105" s="207"/>
      <c r="V105" s="192"/>
      <c r="W105" s="196"/>
      <c r="X105" s="196"/>
      <c r="Y105" s="196"/>
      <c r="Z105" s="195"/>
      <c r="AA105" s="192"/>
      <c r="AB105" s="196"/>
      <c r="AC105" s="196"/>
      <c r="AD105" s="196"/>
      <c r="AE105" s="195"/>
      <c r="AF105" s="194"/>
      <c r="AG105" s="196"/>
      <c r="AH105" s="196"/>
      <c r="AI105" s="200"/>
      <c r="AJ105" s="201"/>
      <c r="AK105" s="812"/>
    </row>
    <row r="106" spans="2:37" s="808" customFormat="1" ht="15.75" customHeight="1">
      <c r="B106" s="811">
        <v>61</v>
      </c>
      <c r="C106" s="202"/>
      <c r="D106" s="202"/>
      <c r="E106" s="190"/>
      <c r="F106" s="202"/>
      <c r="G106" s="203"/>
      <c r="H106" s="191"/>
      <c r="I106" s="203"/>
      <c r="J106" s="204"/>
      <c r="K106" s="205"/>
      <c r="L106" s="204"/>
      <c r="M106" s="206"/>
      <c r="N106" s="206"/>
      <c r="O106" s="206"/>
      <c r="P106" s="207"/>
      <c r="Q106" s="206"/>
      <c r="R106" s="208"/>
      <c r="S106" s="208"/>
      <c r="T106" s="208"/>
      <c r="U106" s="207"/>
      <c r="V106" s="192"/>
      <c r="W106" s="196"/>
      <c r="X106" s="196"/>
      <c r="Y106" s="196"/>
      <c r="Z106" s="195"/>
      <c r="AA106" s="192"/>
      <c r="AB106" s="196"/>
      <c r="AC106" s="196"/>
      <c r="AD106" s="196"/>
      <c r="AE106" s="195"/>
      <c r="AF106" s="194"/>
      <c r="AG106" s="196"/>
      <c r="AH106" s="196"/>
      <c r="AI106" s="200"/>
      <c r="AJ106" s="201"/>
      <c r="AK106" s="812"/>
    </row>
    <row r="107" spans="2:37" s="808" customFormat="1" ht="15.75" customHeight="1">
      <c r="B107" s="811">
        <v>62</v>
      </c>
      <c r="C107" s="202"/>
      <c r="D107" s="202"/>
      <c r="E107" s="190"/>
      <c r="F107" s="202"/>
      <c r="G107" s="203"/>
      <c r="H107" s="191"/>
      <c r="I107" s="203"/>
      <c r="J107" s="204"/>
      <c r="K107" s="205"/>
      <c r="L107" s="204"/>
      <c r="M107" s="206"/>
      <c r="N107" s="206"/>
      <c r="O107" s="206"/>
      <c r="P107" s="207"/>
      <c r="Q107" s="206"/>
      <c r="R107" s="208"/>
      <c r="S107" s="208"/>
      <c r="T107" s="208"/>
      <c r="U107" s="207"/>
      <c r="V107" s="192"/>
      <c r="W107" s="196"/>
      <c r="X107" s="196"/>
      <c r="Y107" s="196"/>
      <c r="Z107" s="195"/>
      <c r="AA107" s="192"/>
      <c r="AB107" s="196"/>
      <c r="AC107" s="196"/>
      <c r="AD107" s="196"/>
      <c r="AE107" s="195"/>
      <c r="AF107" s="194"/>
      <c r="AG107" s="196"/>
      <c r="AH107" s="196"/>
      <c r="AI107" s="200"/>
      <c r="AJ107" s="201"/>
      <c r="AK107" s="812"/>
    </row>
    <row r="108" spans="2:37" s="808" customFormat="1" ht="15.75" customHeight="1">
      <c r="B108" s="811">
        <v>63</v>
      </c>
      <c r="C108" s="202"/>
      <c r="D108" s="202"/>
      <c r="E108" s="190"/>
      <c r="F108" s="202"/>
      <c r="G108" s="203"/>
      <c r="H108" s="191"/>
      <c r="I108" s="203"/>
      <c r="J108" s="204"/>
      <c r="K108" s="205"/>
      <c r="L108" s="204"/>
      <c r="M108" s="206"/>
      <c r="N108" s="206"/>
      <c r="O108" s="206"/>
      <c r="P108" s="207"/>
      <c r="Q108" s="206"/>
      <c r="R108" s="208"/>
      <c r="S108" s="208"/>
      <c r="T108" s="208"/>
      <c r="U108" s="207"/>
      <c r="V108" s="192"/>
      <c r="W108" s="196"/>
      <c r="X108" s="196"/>
      <c r="Y108" s="196"/>
      <c r="Z108" s="195"/>
      <c r="AA108" s="192"/>
      <c r="AB108" s="196"/>
      <c r="AC108" s="196"/>
      <c r="AD108" s="196"/>
      <c r="AE108" s="195"/>
      <c r="AF108" s="194"/>
      <c r="AG108" s="196"/>
      <c r="AH108" s="196"/>
      <c r="AI108" s="200"/>
      <c r="AJ108" s="201"/>
      <c r="AK108" s="812"/>
    </row>
    <row r="109" spans="2:37" ht="15.75" customHeight="1">
      <c r="B109" s="811">
        <v>64</v>
      </c>
      <c r="C109" s="202"/>
      <c r="D109" s="202"/>
      <c r="E109" s="190"/>
      <c r="F109" s="202"/>
      <c r="G109" s="203"/>
      <c r="H109" s="191"/>
      <c r="I109" s="203"/>
      <c r="J109" s="204"/>
      <c r="K109" s="205"/>
      <c r="L109" s="204"/>
      <c r="M109" s="206"/>
      <c r="N109" s="206"/>
      <c r="O109" s="206"/>
      <c r="P109" s="207"/>
      <c r="Q109" s="206"/>
      <c r="R109" s="208"/>
      <c r="S109" s="208"/>
      <c r="T109" s="208"/>
      <c r="U109" s="207"/>
      <c r="V109" s="192"/>
      <c r="W109" s="196"/>
      <c r="X109" s="196"/>
      <c r="Y109" s="196"/>
      <c r="Z109" s="195"/>
      <c r="AA109" s="192"/>
      <c r="AB109" s="196"/>
      <c r="AC109" s="196"/>
      <c r="AD109" s="196"/>
      <c r="AE109" s="195"/>
      <c r="AF109" s="194"/>
      <c r="AG109" s="196"/>
      <c r="AH109" s="196"/>
      <c r="AI109" s="200"/>
      <c r="AJ109" s="201"/>
      <c r="AK109" s="812"/>
    </row>
    <row r="110" spans="2:37" ht="15.75" customHeight="1">
      <c r="B110" s="811">
        <v>65</v>
      </c>
      <c r="C110" s="202"/>
      <c r="D110" s="202"/>
      <c r="E110" s="190"/>
      <c r="F110" s="202"/>
      <c r="G110" s="203"/>
      <c r="H110" s="191"/>
      <c r="I110" s="203"/>
      <c r="J110" s="204"/>
      <c r="K110" s="205"/>
      <c r="L110" s="204"/>
      <c r="M110" s="206"/>
      <c r="N110" s="206"/>
      <c r="O110" s="206"/>
      <c r="P110" s="207"/>
      <c r="Q110" s="206"/>
      <c r="R110" s="208"/>
      <c r="S110" s="208"/>
      <c r="T110" s="208"/>
      <c r="U110" s="207"/>
      <c r="V110" s="192"/>
      <c r="W110" s="196"/>
      <c r="X110" s="196"/>
      <c r="Y110" s="196"/>
      <c r="Z110" s="195"/>
      <c r="AA110" s="192"/>
      <c r="AB110" s="196"/>
      <c r="AC110" s="196"/>
      <c r="AD110" s="196"/>
      <c r="AE110" s="195"/>
      <c r="AF110" s="194"/>
      <c r="AG110" s="196"/>
      <c r="AH110" s="196"/>
      <c r="AI110" s="200"/>
      <c r="AJ110" s="201"/>
      <c r="AK110" s="812"/>
    </row>
    <row r="111" spans="2:37" ht="15.75" customHeight="1">
      <c r="B111" s="811">
        <v>66</v>
      </c>
      <c r="C111" s="202"/>
      <c r="D111" s="202"/>
      <c r="E111" s="190"/>
      <c r="F111" s="202"/>
      <c r="G111" s="203"/>
      <c r="H111" s="191"/>
      <c r="I111" s="203"/>
      <c r="J111" s="204"/>
      <c r="K111" s="205"/>
      <c r="L111" s="204"/>
      <c r="M111" s="206"/>
      <c r="N111" s="206"/>
      <c r="O111" s="206"/>
      <c r="P111" s="207"/>
      <c r="Q111" s="206"/>
      <c r="R111" s="208"/>
      <c r="S111" s="208"/>
      <c r="T111" s="208"/>
      <c r="U111" s="207"/>
      <c r="V111" s="192"/>
      <c r="W111" s="196"/>
      <c r="X111" s="196"/>
      <c r="Y111" s="196"/>
      <c r="Z111" s="195"/>
      <c r="AA111" s="192"/>
      <c r="AB111" s="196"/>
      <c r="AC111" s="196"/>
      <c r="AD111" s="196"/>
      <c r="AE111" s="195"/>
      <c r="AF111" s="194"/>
      <c r="AG111" s="196"/>
      <c r="AH111" s="196"/>
      <c r="AI111" s="200"/>
      <c r="AJ111" s="201"/>
      <c r="AK111" s="812"/>
    </row>
    <row r="112" spans="2:37" ht="15.75" customHeight="1">
      <c r="B112" s="811">
        <v>67</v>
      </c>
      <c r="C112" s="202"/>
      <c r="D112" s="202"/>
      <c r="E112" s="190"/>
      <c r="F112" s="202"/>
      <c r="G112" s="203"/>
      <c r="H112" s="191"/>
      <c r="I112" s="203"/>
      <c r="J112" s="204"/>
      <c r="K112" s="205"/>
      <c r="L112" s="204"/>
      <c r="M112" s="206"/>
      <c r="N112" s="206"/>
      <c r="O112" s="206"/>
      <c r="P112" s="207"/>
      <c r="Q112" s="206"/>
      <c r="R112" s="208"/>
      <c r="S112" s="208"/>
      <c r="T112" s="208"/>
      <c r="U112" s="207"/>
      <c r="V112" s="192"/>
      <c r="W112" s="196"/>
      <c r="X112" s="196"/>
      <c r="Y112" s="196"/>
      <c r="Z112" s="195"/>
      <c r="AA112" s="192"/>
      <c r="AB112" s="196"/>
      <c r="AC112" s="196"/>
      <c r="AD112" s="196"/>
      <c r="AE112" s="195"/>
      <c r="AF112" s="194"/>
      <c r="AG112" s="196"/>
      <c r="AH112" s="196"/>
      <c r="AI112" s="200"/>
      <c r="AJ112" s="201"/>
      <c r="AK112" s="812"/>
    </row>
    <row r="113" spans="2:37" ht="15.75" customHeight="1">
      <c r="B113" s="811">
        <v>68</v>
      </c>
      <c r="C113" s="202"/>
      <c r="D113" s="202"/>
      <c r="E113" s="190"/>
      <c r="F113" s="202"/>
      <c r="G113" s="203"/>
      <c r="H113" s="191"/>
      <c r="I113" s="203"/>
      <c r="J113" s="204"/>
      <c r="K113" s="205"/>
      <c r="L113" s="204"/>
      <c r="M113" s="206"/>
      <c r="N113" s="206"/>
      <c r="O113" s="206"/>
      <c r="P113" s="207"/>
      <c r="Q113" s="206"/>
      <c r="R113" s="208"/>
      <c r="S113" s="208"/>
      <c r="T113" s="208"/>
      <c r="U113" s="207"/>
      <c r="V113" s="192"/>
      <c r="W113" s="196"/>
      <c r="X113" s="196"/>
      <c r="Y113" s="196"/>
      <c r="Z113" s="195"/>
      <c r="AA113" s="192"/>
      <c r="AB113" s="196"/>
      <c r="AC113" s="196"/>
      <c r="AD113" s="196"/>
      <c r="AE113" s="195"/>
      <c r="AF113" s="194"/>
      <c r="AG113" s="196"/>
      <c r="AH113" s="196"/>
      <c r="AI113" s="200"/>
      <c r="AJ113" s="201"/>
      <c r="AK113" s="812"/>
    </row>
    <row r="114" spans="2:37" ht="15.75" customHeight="1">
      <c r="B114" s="811">
        <v>69</v>
      </c>
      <c r="C114" s="202"/>
      <c r="D114" s="202"/>
      <c r="E114" s="190"/>
      <c r="F114" s="202"/>
      <c r="G114" s="203"/>
      <c r="H114" s="191"/>
      <c r="I114" s="203"/>
      <c r="J114" s="204"/>
      <c r="K114" s="205"/>
      <c r="L114" s="204"/>
      <c r="M114" s="206"/>
      <c r="N114" s="206"/>
      <c r="O114" s="206"/>
      <c r="P114" s="207"/>
      <c r="Q114" s="206"/>
      <c r="R114" s="208"/>
      <c r="S114" s="208"/>
      <c r="T114" s="208"/>
      <c r="U114" s="207"/>
      <c r="V114" s="192"/>
      <c r="W114" s="196"/>
      <c r="X114" s="196"/>
      <c r="Y114" s="196"/>
      <c r="Z114" s="195"/>
      <c r="AA114" s="192"/>
      <c r="AB114" s="196"/>
      <c r="AC114" s="196"/>
      <c r="AD114" s="196"/>
      <c r="AE114" s="195"/>
      <c r="AF114" s="194"/>
      <c r="AG114" s="196"/>
      <c r="AH114" s="196"/>
      <c r="AI114" s="200"/>
      <c r="AJ114" s="201"/>
      <c r="AK114" s="812"/>
    </row>
    <row r="115" spans="2:37" ht="15.75" customHeight="1">
      <c r="B115" s="811">
        <v>70</v>
      </c>
      <c r="C115" s="202"/>
      <c r="D115" s="202"/>
      <c r="E115" s="190"/>
      <c r="F115" s="202"/>
      <c r="G115" s="203"/>
      <c r="H115" s="191"/>
      <c r="I115" s="203"/>
      <c r="J115" s="204"/>
      <c r="K115" s="205"/>
      <c r="L115" s="204"/>
      <c r="M115" s="206"/>
      <c r="N115" s="206"/>
      <c r="O115" s="206"/>
      <c r="P115" s="207"/>
      <c r="Q115" s="206"/>
      <c r="R115" s="208"/>
      <c r="S115" s="208"/>
      <c r="T115" s="208"/>
      <c r="U115" s="207"/>
      <c r="V115" s="192"/>
      <c r="W115" s="196"/>
      <c r="X115" s="196"/>
      <c r="Y115" s="196"/>
      <c r="Z115" s="195"/>
      <c r="AA115" s="192"/>
      <c r="AB115" s="196"/>
      <c r="AC115" s="196"/>
      <c r="AD115" s="196"/>
      <c r="AE115" s="195"/>
      <c r="AF115" s="194"/>
      <c r="AG115" s="196"/>
      <c r="AH115" s="196"/>
      <c r="AI115" s="200"/>
      <c r="AJ115" s="201"/>
      <c r="AK115" s="812"/>
    </row>
    <row r="116" spans="2:37" s="808" customFormat="1" ht="15.75" customHeight="1" thickBot="1">
      <c r="B116" s="816"/>
      <c r="C116" s="817" t="s">
        <v>220</v>
      </c>
      <c r="D116" s="818"/>
      <c r="E116" s="818"/>
      <c r="F116" s="818"/>
      <c r="G116" s="818"/>
      <c r="H116" s="818"/>
      <c r="I116" s="819">
        <f t="shared" ref="I116:U116" si="8">SUM(I46:I115)</f>
        <v>551.90000000000009</v>
      </c>
      <c r="J116" s="820">
        <f t="shared" si="8"/>
        <v>66.029697503174646</v>
      </c>
      <c r="K116" s="821">
        <f t="shared" si="8"/>
        <v>60.453438979164339</v>
      </c>
      <c r="L116" s="822">
        <f t="shared" si="8"/>
        <v>0</v>
      </c>
      <c r="M116" s="823">
        <f t="shared" si="8"/>
        <v>0</v>
      </c>
      <c r="N116" s="823">
        <f t="shared" si="8"/>
        <v>0</v>
      </c>
      <c r="O116" s="823">
        <f t="shared" si="8"/>
        <v>1.385</v>
      </c>
      <c r="P116" s="824">
        <f t="shared" si="8"/>
        <v>1.3048018626765208</v>
      </c>
      <c r="Q116" s="825">
        <f t="shared" si="8"/>
        <v>10.039358492356207</v>
      </c>
      <c r="R116" s="823">
        <f t="shared" si="8"/>
        <v>17.616334344928696</v>
      </c>
      <c r="S116" s="826">
        <f t="shared" si="8"/>
        <v>17.355273422580797</v>
      </c>
      <c r="T116" s="826">
        <f t="shared" si="8"/>
        <v>9.2338575208365228</v>
      </c>
      <c r="U116" s="824">
        <f t="shared" si="8"/>
        <v>6.2086151984621125</v>
      </c>
      <c r="V116" s="827">
        <f>SUM(V46:V115)</f>
        <v>691.92</v>
      </c>
      <c r="W116" s="827">
        <f t="shared" ref="W116:AH116" si="9">SUM(W46:W115)</f>
        <v>661.9</v>
      </c>
      <c r="X116" s="827">
        <f t="shared" si="9"/>
        <v>830.51</v>
      </c>
      <c r="Y116" s="827">
        <f t="shared" si="9"/>
        <v>966.62496499999997</v>
      </c>
      <c r="Z116" s="827">
        <f t="shared" si="9"/>
        <v>987.06726220499991</v>
      </c>
      <c r="AA116" s="827">
        <f t="shared" si="9"/>
        <v>1001.3478511200324</v>
      </c>
      <c r="AB116" s="827">
        <f t="shared" si="9"/>
        <v>1008.6811134491554</v>
      </c>
      <c r="AC116" s="827">
        <f t="shared" si="9"/>
        <v>1012.6996944158151</v>
      </c>
      <c r="AD116" s="827">
        <f t="shared" si="9"/>
        <v>1031.8420692747197</v>
      </c>
      <c r="AE116" s="827">
        <f t="shared" si="9"/>
        <v>1055.7811324350114</v>
      </c>
      <c r="AF116" s="827">
        <f t="shared" si="9"/>
        <v>1069.75</v>
      </c>
      <c r="AG116" s="827">
        <f t="shared" si="9"/>
        <v>938.68</v>
      </c>
      <c r="AH116" s="827">
        <f t="shared" si="9"/>
        <v>966.86000000000013</v>
      </c>
      <c r="AI116" s="828"/>
      <c r="AJ116" s="829"/>
      <c r="AK116" s="830"/>
    </row>
    <row r="117" spans="2:37" s="808" customFormat="1"/>
    <row r="118" spans="2:37" s="808" customFormat="1"/>
    <row r="119" spans="2:37" s="808" customFormat="1"/>
    <row r="120" spans="2:37" s="808" customFormat="1"/>
    <row r="121" spans="2:37" s="808" customFormat="1"/>
    <row r="122" spans="2:37" s="808" customFormat="1"/>
    <row r="123" spans="2:37" s="808" customFormat="1"/>
    <row r="124" spans="2:37" s="808" customFormat="1"/>
    <row r="125" spans="2:37" s="808" customFormat="1"/>
    <row r="126" spans="2:37" s="808"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2"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5FFFF"/>
    <pageSetUpPr fitToPage="1"/>
  </sheetPr>
  <dimension ref="A1:S33"/>
  <sheetViews>
    <sheetView workbookViewId="0">
      <selection activeCell="J50" sqref="J50"/>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408" t="s">
        <v>94</v>
      </c>
      <c r="F1" s="407"/>
    </row>
    <row r="2" spans="1:19">
      <c r="A2" s="408"/>
    </row>
    <row r="3" spans="1:19">
      <c r="A3" s="408" t="s">
        <v>422</v>
      </c>
    </row>
    <row r="6" spans="1:19">
      <c r="B6" s="458" t="s">
        <v>423</v>
      </c>
      <c r="C6" s="760"/>
      <c r="D6" s="760"/>
      <c r="E6" s="760"/>
      <c r="F6" s="760"/>
      <c r="G6" s="760"/>
      <c r="H6" s="760"/>
      <c r="I6" s="760"/>
      <c r="J6" s="760"/>
      <c r="K6" s="760"/>
      <c r="L6" s="760"/>
      <c r="M6" s="760"/>
      <c r="N6" s="760"/>
      <c r="O6" s="760"/>
      <c r="P6" s="760"/>
      <c r="Q6" s="760"/>
      <c r="R6" s="760"/>
      <c r="S6" s="760"/>
    </row>
    <row r="7" spans="1:19" ht="13.5" thickBot="1">
      <c r="B7" s="760"/>
      <c r="C7" s="760"/>
      <c r="D7" s="760"/>
      <c r="E7" s="760"/>
      <c r="F7" s="760"/>
      <c r="G7" s="760"/>
      <c r="H7" s="760"/>
      <c r="I7" s="760"/>
      <c r="J7" s="760"/>
      <c r="K7" s="760"/>
      <c r="L7" s="760"/>
      <c r="M7" s="760"/>
      <c r="N7" s="760"/>
      <c r="O7" s="760"/>
      <c r="P7" s="760"/>
      <c r="Q7" s="760"/>
      <c r="R7" s="760"/>
      <c r="S7" s="760"/>
    </row>
    <row r="8" spans="1:19" ht="15" customHeight="1">
      <c r="B8" s="1918"/>
      <c r="C8" s="1919"/>
      <c r="D8" s="831" t="s">
        <v>424</v>
      </c>
      <c r="E8" s="832"/>
      <c r="F8" s="833"/>
      <c r="G8" s="834" t="s">
        <v>425</v>
      </c>
      <c r="H8" s="832"/>
      <c r="I8" s="833"/>
      <c r="J8" s="760"/>
      <c r="K8" s="760"/>
      <c r="L8" s="760"/>
      <c r="M8" s="760"/>
      <c r="N8" s="760"/>
      <c r="O8" s="760"/>
      <c r="P8" s="760"/>
      <c r="Q8" s="760"/>
      <c r="R8" s="760"/>
      <c r="S8" s="760"/>
    </row>
    <row r="9" spans="1:19" ht="15" customHeight="1">
      <c r="B9" s="1920"/>
      <c r="C9" s="1921"/>
      <c r="D9" s="835" t="s">
        <v>426</v>
      </c>
      <c r="E9" s="836" t="s">
        <v>427</v>
      </c>
      <c r="F9" s="837" t="s">
        <v>245</v>
      </c>
      <c r="G9" s="838" t="s">
        <v>426</v>
      </c>
      <c r="H9" s="836" t="s">
        <v>427</v>
      </c>
      <c r="I9" s="837" t="s">
        <v>245</v>
      </c>
      <c r="J9" s="760"/>
      <c r="K9" s="760"/>
      <c r="L9" s="760"/>
      <c r="M9" s="760"/>
      <c r="N9" s="760"/>
      <c r="O9" s="760"/>
      <c r="P9" s="760"/>
      <c r="Q9" s="760"/>
      <c r="R9" s="760"/>
      <c r="S9" s="760"/>
    </row>
    <row r="10" spans="1:19" ht="15" customHeight="1">
      <c r="B10" s="1922" t="s">
        <v>428</v>
      </c>
      <c r="C10" s="1923"/>
      <c r="D10" s="209">
        <v>47</v>
      </c>
      <c r="E10" s="209">
        <v>227</v>
      </c>
      <c r="F10" s="210">
        <v>367</v>
      </c>
      <c r="G10" s="211">
        <v>47</v>
      </c>
      <c r="H10" s="209">
        <v>227</v>
      </c>
      <c r="I10" s="210">
        <v>382</v>
      </c>
      <c r="J10" s="760"/>
      <c r="K10" s="760"/>
      <c r="L10" s="760"/>
      <c r="M10" s="760"/>
      <c r="N10" s="760"/>
      <c r="O10" s="760"/>
      <c r="P10" s="760"/>
      <c r="Q10" s="760"/>
      <c r="R10" s="760"/>
      <c r="S10" s="760"/>
    </row>
    <row r="11" spans="1:19" ht="27" customHeight="1">
      <c r="B11" s="1924" t="s">
        <v>429</v>
      </c>
      <c r="C11" s="1925"/>
      <c r="D11" s="212">
        <v>2</v>
      </c>
      <c r="E11" s="212">
        <v>8</v>
      </c>
      <c r="F11" s="213">
        <v>28</v>
      </c>
      <c r="G11" s="214">
        <v>2</v>
      </c>
      <c r="H11" s="212">
        <v>8</v>
      </c>
      <c r="I11" s="213">
        <v>27</v>
      </c>
      <c r="J11" s="760"/>
      <c r="K11" s="760"/>
      <c r="L11" s="760"/>
      <c r="M11" s="760"/>
      <c r="N11" s="760"/>
      <c r="O11" s="760"/>
      <c r="P11" s="760"/>
      <c r="Q11" s="760"/>
      <c r="R11" s="760"/>
      <c r="S11" s="760"/>
    </row>
    <row r="12" spans="1:19" ht="30" customHeight="1" thickBot="1">
      <c r="B12" s="1926" t="s">
        <v>430</v>
      </c>
      <c r="C12" s="1927"/>
      <c r="D12" s="212">
        <v>0</v>
      </c>
      <c r="E12" s="212">
        <v>5</v>
      </c>
      <c r="F12" s="213">
        <v>21</v>
      </c>
      <c r="G12" s="214">
        <v>0</v>
      </c>
      <c r="H12" s="212">
        <v>5</v>
      </c>
      <c r="I12" s="213">
        <v>20</v>
      </c>
      <c r="J12" s="760"/>
      <c r="K12" s="760"/>
      <c r="L12" s="760"/>
      <c r="M12" s="760"/>
      <c r="N12" s="760"/>
      <c r="O12" s="760"/>
      <c r="P12" s="760"/>
      <c r="Q12" s="760"/>
      <c r="R12" s="760"/>
      <c r="S12" s="760"/>
    </row>
    <row r="13" spans="1:19">
      <c r="B13" s="760"/>
      <c r="C13" s="760"/>
      <c r="D13" s="760"/>
      <c r="E13" s="760"/>
      <c r="F13" s="760"/>
      <c r="G13" s="760"/>
      <c r="H13" s="760"/>
      <c r="I13" s="760"/>
      <c r="J13" s="760"/>
      <c r="K13" s="760"/>
      <c r="L13" s="760"/>
      <c r="M13" s="760"/>
      <c r="N13" s="760"/>
      <c r="O13" s="760"/>
      <c r="P13" s="760"/>
      <c r="Q13" s="760"/>
      <c r="R13" s="760"/>
      <c r="S13" s="760"/>
    </row>
    <row r="14" spans="1:19">
      <c r="B14" s="458" t="s">
        <v>431</v>
      </c>
      <c r="C14" s="760"/>
      <c r="D14" s="760"/>
      <c r="E14" s="760"/>
      <c r="F14" s="760"/>
      <c r="G14" s="760"/>
      <c r="H14" s="760"/>
      <c r="I14" s="760"/>
      <c r="J14" s="760"/>
      <c r="K14" s="760"/>
      <c r="L14" s="760"/>
      <c r="M14" s="760"/>
      <c r="N14" s="760"/>
      <c r="O14" s="760"/>
      <c r="P14" s="760"/>
      <c r="Q14" s="760"/>
      <c r="R14" s="760"/>
      <c r="S14" s="760"/>
    </row>
    <row r="15" spans="1:19" ht="13.5" thickBot="1">
      <c r="B15" s="760"/>
      <c r="C15" s="760"/>
      <c r="D15" s="760"/>
      <c r="E15" s="760"/>
      <c r="F15" s="760"/>
      <c r="G15" s="760"/>
      <c r="H15" s="760"/>
      <c r="I15" s="760"/>
      <c r="J15" s="760"/>
      <c r="K15" s="760"/>
      <c r="L15" s="760"/>
      <c r="M15" s="760"/>
      <c r="N15" s="760"/>
      <c r="O15" s="760"/>
      <c r="P15" s="760"/>
      <c r="Q15" s="760"/>
      <c r="R15" s="760"/>
      <c r="S15" s="760"/>
    </row>
    <row r="16" spans="1:19">
      <c r="B16" s="1928" t="s">
        <v>432</v>
      </c>
      <c r="C16" s="1929"/>
      <c r="D16" s="834" t="s">
        <v>211</v>
      </c>
      <c r="E16" s="832"/>
      <c r="F16" s="833"/>
      <c r="G16" s="834" t="s">
        <v>212</v>
      </c>
      <c r="H16" s="832"/>
      <c r="I16" s="833"/>
      <c r="J16" s="760"/>
      <c r="K16" s="760"/>
      <c r="L16" s="760"/>
      <c r="M16" s="760"/>
      <c r="N16" s="760"/>
      <c r="O16" s="760"/>
      <c r="P16" s="760"/>
      <c r="Q16" s="760"/>
      <c r="R16" s="760"/>
      <c r="S16" s="760"/>
    </row>
    <row r="17" spans="2:19">
      <c r="B17" s="1930"/>
      <c r="C17" s="1931"/>
      <c r="D17" s="838" t="s">
        <v>426</v>
      </c>
      <c r="E17" s="836" t="s">
        <v>427</v>
      </c>
      <c r="F17" s="837" t="s">
        <v>245</v>
      </c>
      <c r="G17" s="838" t="s">
        <v>426</v>
      </c>
      <c r="H17" s="836" t="s">
        <v>427</v>
      </c>
      <c r="I17" s="837" t="s">
        <v>245</v>
      </c>
      <c r="J17" s="760"/>
      <c r="K17" s="760"/>
      <c r="L17" s="760"/>
      <c r="M17" s="760"/>
      <c r="N17" s="760"/>
      <c r="O17" s="760"/>
      <c r="P17" s="760"/>
      <c r="Q17" s="760"/>
      <c r="R17" s="760"/>
      <c r="S17" s="760"/>
    </row>
    <row r="18" spans="2:19" ht="15" customHeight="1">
      <c r="B18" s="1914" t="s">
        <v>433</v>
      </c>
      <c r="C18" s="1915"/>
      <c r="D18" s="214">
        <v>0</v>
      </c>
      <c r="E18" s="212">
        <v>4</v>
      </c>
      <c r="F18" s="215">
        <v>4</v>
      </c>
      <c r="G18" s="214">
        <v>0</v>
      </c>
      <c r="H18" s="212">
        <v>0</v>
      </c>
      <c r="I18" s="215">
        <v>2</v>
      </c>
      <c r="J18" s="760"/>
      <c r="K18" s="760"/>
      <c r="L18" s="760"/>
      <c r="M18" s="760"/>
      <c r="N18" s="760"/>
      <c r="O18" s="760"/>
      <c r="P18" s="760"/>
      <c r="Q18" s="760"/>
      <c r="R18" s="760"/>
      <c r="S18" s="760"/>
    </row>
    <row r="19" spans="2:19" ht="15" customHeight="1">
      <c r="B19" s="1914" t="s">
        <v>434</v>
      </c>
      <c r="C19" s="1915"/>
      <c r="D19" s="214">
        <v>1</v>
      </c>
      <c r="E19" s="212">
        <v>0</v>
      </c>
      <c r="F19" s="215">
        <v>0</v>
      </c>
      <c r="G19" s="214">
        <v>0</v>
      </c>
      <c r="H19" s="212">
        <v>0</v>
      </c>
      <c r="I19" s="215">
        <v>0</v>
      </c>
      <c r="J19" s="760"/>
      <c r="K19" s="760"/>
      <c r="L19" s="760"/>
      <c r="M19" s="760"/>
      <c r="N19" s="760"/>
      <c r="O19" s="760"/>
      <c r="P19" s="760"/>
      <c r="Q19" s="760"/>
      <c r="R19" s="760"/>
      <c r="S19" s="760"/>
    </row>
    <row r="20" spans="2:19" ht="15" customHeight="1" thickBot="1">
      <c r="B20" s="1916" t="s">
        <v>435</v>
      </c>
      <c r="C20" s="1917"/>
      <c r="D20" s="216">
        <v>0</v>
      </c>
      <c r="E20" s="217">
        <v>0</v>
      </c>
      <c r="F20" s="218">
        <v>0</v>
      </c>
      <c r="G20" s="216">
        <v>0</v>
      </c>
      <c r="H20" s="217">
        <v>0</v>
      </c>
      <c r="I20" s="218">
        <v>0</v>
      </c>
      <c r="J20" s="760"/>
      <c r="K20" s="760"/>
      <c r="L20" s="760"/>
      <c r="M20" s="760"/>
      <c r="N20" s="760"/>
      <c r="O20" s="760"/>
      <c r="P20" s="760"/>
      <c r="Q20" s="760"/>
      <c r="R20" s="760"/>
      <c r="S20" s="760"/>
    </row>
    <row r="21" spans="2:19">
      <c r="B21" s="760"/>
      <c r="C21" s="760"/>
      <c r="D21" s="760"/>
      <c r="E21" s="760"/>
      <c r="F21" s="760"/>
      <c r="G21" s="760"/>
      <c r="H21" s="760"/>
      <c r="I21" s="760"/>
      <c r="J21" s="760"/>
      <c r="K21" s="760"/>
      <c r="L21" s="760"/>
      <c r="M21" s="760"/>
      <c r="N21" s="760"/>
      <c r="O21" s="760"/>
      <c r="P21" s="760"/>
      <c r="Q21" s="760"/>
      <c r="R21" s="760"/>
      <c r="S21" s="760"/>
    </row>
    <row r="22" spans="2:19">
      <c r="B22" s="458" t="s">
        <v>436</v>
      </c>
      <c r="C22" s="760"/>
      <c r="D22" s="760"/>
      <c r="E22" s="760"/>
      <c r="F22" s="760"/>
      <c r="G22" s="760"/>
      <c r="H22" s="760"/>
      <c r="I22" s="760"/>
      <c r="J22" s="760"/>
      <c r="K22" s="760"/>
      <c r="L22" s="760"/>
      <c r="M22" s="760"/>
      <c r="N22" s="760"/>
      <c r="O22" s="760"/>
      <c r="P22" s="760"/>
      <c r="Q22" s="760"/>
      <c r="R22" s="760"/>
      <c r="S22" s="760"/>
    </row>
    <row r="23" spans="2:19" ht="13.5" thickBot="1">
      <c r="B23" s="458"/>
      <c r="C23" s="760"/>
      <c r="D23" s="760"/>
      <c r="E23" s="760"/>
      <c r="F23" s="760"/>
      <c r="G23" s="760"/>
      <c r="H23" s="760"/>
      <c r="I23" s="760"/>
      <c r="J23" s="760"/>
      <c r="K23" s="760"/>
      <c r="L23" s="760"/>
      <c r="M23" s="760"/>
      <c r="N23" s="760"/>
      <c r="O23" s="760"/>
      <c r="P23" s="760"/>
      <c r="Q23" s="760"/>
      <c r="R23" s="760"/>
      <c r="S23" s="760"/>
    </row>
    <row r="24" spans="2:19">
      <c r="B24" s="1901"/>
      <c r="C24" s="446" t="s">
        <v>211</v>
      </c>
      <c r="D24" s="447"/>
      <c r="E24" s="447"/>
      <c r="F24" s="447"/>
      <c r="G24" s="839"/>
      <c r="H24" s="446" t="s">
        <v>212</v>
      </c>
      <c r="I24" s="840"/>
      <c r="J24" s="840"/>
      <c r="K24" s="840"/>
      <c r="L24" s="839"/>
      <c r="M24" s="219"/>
      <c r="N24" s="243" t="s">
        <v>211</v>
      </c>
      <c r="O24" s="244"/>
      <c r="P24" s="245"/>
      <c r="Q24" s="219"/>
      <c r="R24" s="243" t="s">
        <v>212</v>
      </c>
      <c r="S24" s="245"/>
    </row>
    <row r="25" spans="2:19">
      <c r="B25" s="1902"/>
      <c r="C25" s="250" t="s">
        <v>99</v>
      </c>
      <c r="D25" s="251" t="s">
        <v>100</v>
      </c>
      <c r="E25" s="251" t="s">
        <v>101</v>
      </c>
      <c r="F25" s="251" t="s">
        <v>102</v>
      </c>
      <c r="G25" s="252" t="s">
        <v>64</v>
      </c>
      <c r="H25" s="250" t="s">
        <v>213</v>
      </c>
      <c r="I25" s="251" t="s">
        <v>214</v>
      </c>
      <c r="J25" s="251" t="s">
        <v>215</v>
      </c>
      <c r="K25" s="251" t="s">
        <v>216</v>
      </c>
      <c r="L25" s="252" t="s">
        <v>217</v>
      </c>
      <c r="M25" s="219"/>
      <c r="N25" s="250" t="s">
        <v>218</v>
      </c>
      <c r="O25" s="251" t="s">
        <v>219</v>
      </c>
      <c r="P25" s="252" t="s">
        <v>220</v>
      </c>
      <c r="Q25" s="219"/>
      <c r="R25" s="250" t="s">
        <v>219</v>
      </c>
      <c r="S25" s="252" t="s">
        <v>221</v>
      </c>
    </row>
    <row r="26" spans="2:19">
      <c r="B26" s="1903"/>
      <c r="C26" s="746" t="s">
        <v>366</v>
      </c>
      <c r="D26" s="747" t="s">
        <v>366</v>
      </c>
      <c r="E26" s="747" t="s">
        <v>366</v>
      </c>
      <c r="F26" s="747" t="s">
        <v>366</v>
      </c>
      <c r="G26" s="748" t="s">
        <v>366</v>
      </c>
      <c r="H26" s="746" t="s">
        <v>366</v>
      </c>
      <c r="I26" s="747" t="s">
        <v>366</v>
      </c>
      <c r="J26" s="747" t="s">
        <v>366</v>
      </c>
      <c r="K26" s="747" t="s">
        <v>366</v>
      </c>
      <c r="L26" s="748" t="s">
        <v>366</v>
      </c>
      <c r="M26" s="841"/>
      <c r="N26" s="746" t="s">
        <v>366</v>
      </c>
      <c r="O26" s="747" t="s">
        <v>366</v>
      </c>
      <c r="P26" s="748" t="s">
        <v>366</v>
      </c>
      <c r="Q26" s="841"/>
      <c r="R26" s="746" t="s">
        <v>366</v>
      </c>
      <c r="S26" s="748" t="s">
        <v>366</v>
      </c>
    </row>
    <row r="27" spans="2:19">
      <c r="B27" s="842" t="s">
        <v>437</v>
      </c>
      <c r="C27" s="843"/>
      <c r="D27" s="844"/>
      <c r="E27" s="844"/>
      <c r="F27" s="844"/>
      <c r="G27" s="845"/>
      <c r="H27" s="843"/>
      <c r="I27" s="844"/>
      <c r="J27" s="844"/>
      <c r="K27" s="844"/>
      <c r="L27" s="845"/>
      <c r="M27" s="841"/>
      <c r="N27" s="843"/>
      <c r="O27" s="846"/>
      <c r="P27" s="847"/>
      <c r="Q27" s="841"/>
      <c r="R27" s="843"/>
      <c r="S27" s="756"/>
    </row>
    <row r="28" spans="2:19">
      <c r="B28" s="848" t="s">
        <v>438</v>
      </c>
      <c r="C28" s="157">
        <v>0</v>
      </c>
      <c r="D28" s="157">
        <v>0</v>
      </c>
      <c r="E28" s="157">
        <v>0</v>
      </c>
      <c r="F28" s="157">
        <v>0</v>
      </c>
      <c r="G28" s="158">
        <v>0</v>
      </c>
      <c r="H28" s="156">
        <v>0</v>
      </c>
      <c r="I28" s="159">
        <v>0</v>
      </c>
      <c r="J28" s="159">
        <v>0</v>
      </c>
      <c r="K28" s="159">
        <v>0</v>
      </c>
      <c r="L28" s="158">
        <v>0</v>
      </c>
      <c r="M28" s="219"/>
      <c r="N28" s="161">
        <v>0</v>
      </c>
      <c r="O28" s="162">
        <v>0</v>
      </c>
      <c r="P28" s="163">
        <v>0</v>
      </c>
      <c r="Q28" s="219"/>
      <c r="R28" s="161">
        <v>0</v>
      </c>
      <c r="S28" s="220" t="s">
        <v>1022</v>
      </c>
    </row>
    <row r="29" spans="2:19">
      <c r="B29" s="848" t="s">
        <v>245</v>
      </c>
      <c r="C29" s="157">
        <v>0.02</v>
      </c>
      <c r="D29" s="157">
        <v>0.06</v>
      </c>
      <c r="E29" s="157">
        <v>0.37813885780737833</v>
      </c>
      <c r="F29" s="157">
        <v>0.92710802547143045</v>
      </c>
      <c r="G29" s="158">
        <v>0.73856085354970036</v>
      </c>
      <c r="H29" s="156">
        <v>0.2344664443398706</v>
      </c>
      <c r="I29" s="159">
        <v>0.35075453761384212</v>
      </c>
      <c r="J29" s="159">
        <v>1.3677677806735886</v>
      </c>
      <c r="K29" s="159">
        <v>0.13981179561746443</v>
      </c>
      <c r="L29" s="158">
        <v>0.13908405076746447</v>
      </c>
      <c r="M29" s="219"/>
      <c r="N29" s="161">
        <v>1.3852468832788087</v>
      </c>
      <c r="O29" s="162">
        <v>0.73856085354970036</v>
      </c>
      <c r="P29" s="163">
        <v>2.1238077368285091</v>
      </c>
      <c r="Q29" s="219"/>
      <c r="R29" s="161">
        <v>2.23188460901223</v>
      </c>
      <c r="S29" s="220">
        <v>5.0888256177610738E-2</v>
      </c>
    </row>
    <row r="30" spans="2:19">
      <c r="B30" s="848" t="s">
        <v>439</v>
      </c>
      <c r="C30" s="157">
        <v>0.09</v>
      </c>
      <c r="D30" s="157">
        <v>0.77</v>
      </c>
      <c r="E30" s="157">
        <v>5.8255391974927781E-2</v>
      </c>
      <c r="F30" s="157">
        <v>0.4173587968774578</v>
      </c>
      <c r="G30" s="158">
        <v>1.3673073411280907</v>
      </c>
      <c r="H30" s="156">
        <v>0.24577190298694074</v>
      </c>
      <c r="I30" s="159">
        <v>0</v>
      </c>
      <c r="J30" s="159">
        <v>0</v>
      </c>
      <c r="K30" s="159">
        <v>0</v>
      </c>
      <c r="L30" s="158">
        <v>0</v>
      </c>
      <c r="M30" s="219"/>
      <c r="N30" s="161">
        <v>1.3356141888523856</v>
      </c>
      <c r="O30" s="162">
        <v>1.3673073411280907</v>
      </c>
      <c r="P30" s="163">
        <v>2.7029215299804763</v>
      </c>
      <c r="Q30" s="219"/>
      <c r="R30" s="161">
        <v>0.24577190298694074</v>
      </c>
      <c r="S30" s="220">
        <v>-0.90907175799930973</v>
      </c>
    </row>
    <row r="31" spans="2:19">
      <c r="B31" s="848" t="s">
        <v>440</v>
      </c>
      <c r="C31" s="157">
        <v>0</v>
      </c>
      <c r="D31" s="157">
        <v>0</v>
      </c>
      <c r="E31" s="157">
        <v>0</v>
      </c>
      <c r="F31" s="157">
        <v>0</v>
      </c>
      <c r="G31" s="158">
        <v>0</v>
      </c>
      <c r="H31" s="156">
        <v>0</v>
      </c>
      <c r="I31" s="159">
        <v>0</v>
      </c>
      <c r="J31" s="159">
        <v>0</v>
      </c>
      <c r="K31" s="159">
        <v>0</v>
      </c>
      <c r="L31" s="158">
        <v>0</v>
      </c>
      <c r="M31" s="219"/>
      <c r="N31" s="161">
        <v>0</v>
      </c>
      <c r="O31" s="162">
        <v>0</v>
      </c>
      <c r="P31" s="163">
        <v>0</v>
      </c>
      <c r="Q31" s="219"/>
      <c r="R31" s="161">
        <v>0</v>
      </c>
      <c r="S31" s="220" t="s">
        <v>1022</v>
      </c>
    </row>
    <row r="32" spans="2:19" ht="13.5" thickBot="1">
      <c r="B32" s="849" t="s">
        <v>441</v>
      </c>
      <c r="C32" s="221">
        <v>0.11</v>
      </c>
      <c r="D32" s="221">
        <v>0.83000000000000007</v>
      </c>
      <c r="E32" s="221">
        <v>0.43639424978230612</v>
      </c>
      <c r="F32" s="221">
        <v>1.3444668223488883</v>
      </c>
      <c r="G32" s="222">
        <v>2.1058681946777913</v>
      </c>
      <c r="H32" s="223">
        <v>0.48023834732681137</v>
      </c>
      <c r="I32" s="224">
        <v>0.35075453761384212</v>
      </c>
      <c r="J32" s="224">
        <v>1.3677677806735886</v>
      </c>
      <c r="K32" s="224">
        <v>0.13981179561746443</v>
      </c>
      <c r="L32" s="222">
        <v>0.13908405076746447</v>
      </c>
      <c r="M32" s="225"/>
      <c r="N32" s="223">
        <v>2.7208610721311945</v>
      </c>
      <c r="O32" s="224">
        <v>2.1058681946777913</v>
      </c>
      <c r="P32" s="222">
        <v>4.8267292668089858</v>
      </c>
      <c r="Q32" s="225"/>
      <c r="R32" s="223">
        <v>2.4776565119991707</v>
      </c>
      <c r="S32" s="226">
        <v>-0.48668003216240424</v>
      </c>
    </row>
    <row r="33" spans="2:19">
      <c r="B33" s="443"/>
      <c r="C33" s="443"/>
      <c r="D33" s="443"/>
      <c r="E33" s="443"/>
      <c r="F33" s="443"/>
      <c r="G33" s="443"/>
      <c r="H33" s="443"/>
      <c r="I33" s="443"/>
      <c r="J33" s="443"/>
      <c r="K33" s="443"/>
      <c r="L33" s="443"/>
      <c r="M33" s="445"/>
      <c r="N33" s="443"/>
      <c r="O33" s="443"/>
      <c r="P33" s="443"/>
      <c r="Q33" s="445"/>
      <c r="R33" s="443"/>
      <c r="S33" s="443"/>
    </row>
  </sheetData>
  <mergeCells count="9">
    <mergeCell ref="B19:C19"/>
    <mergeCell ref="B20:C20"/>
    <mergeCell ref="B24:B26"/>
    <mergeCell ref="B8:C9"/>
    <mergeCell ref="B10:C10"/>
    <mergeCell ref="B11:C11"/>
    <mergeCell ref="B12:C12"/>
    <mergeCell ref="B16:C17"/>
    <mergeCell ref="B18:C18"/>
  </mergeCells>
  <phoneticPr fontId="2" type="noConversion"/>
  <pageMargins left="0.75" right="0.75" top="1" bottom="1" header="0.5" footer="0.5"/>
  <pageSetup paperSize="9" scale="44" orientation="portrait" horizontalDpi="4294967292" verticalDpi="4294967292"/>
  <headerFooter>
    <oddHeader>&amp;A&amp;RPage &amp;P</oddHeader>
  </headerFooter>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2015-11-25T11:36:18+00:00</DateLastActivated1>
    <Commitees xmlns="c7312139-f4c2-453d-a4c8-c631b6303d87"/>
    <DocNotes xmlns="c7312139-f4c2-453d-a4c8-c631b6303d87" xsi:nil="true"/>
    <Activities xmlns="c7312139-f4c2-453d-a4c8-c631b6303d87"/>
    <Issues xmlns="c7312139-f4c2-453d-a4c8-c631b6303d87"/>
    <PublishDate xmlns="c7312139-f4c2-453d-a4c8-c631b6303d87">2015-11-25T00:00:00+00:00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pre-release</DocVersion>
    <Archived xmlns="c7312139-f4c2-453d-a4c8-c631b6303d87">false</Archived>
    <SQLID xmlns="c7312139-f4c2-453d-a4c8-c631b6303d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3" ma:contentTypeDescription="Create a new document." ma:contentTypeScope="" ma:versionID="f2f8e94f420f34fde909ad83e0196b9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EFD8EB79-F195-4015-ADF9-1C517EF16F57}">
  <ds:schemaRefs>
    <ds:schemaRef ds:uri="http://schemas.microsoft.com/sharepoint/v3/contenttype/forms"/>
  </ds:schemaRefs>
</ds:datastoreItem>
</file>

<file path=customXml/itemProps2.xml><?xml version="1.0" encoding="utf-8"?>
<ds:datastoreItem xmlns:ds="http://schemas.openxmlformats.org/officeDocument/2006/customXml" ds:itemID="{1093D368-F0A7-4514-9FB9-915755DD2C74}">
  <ds:schemaRefs>
    <ds:schemaRef ds:uri="c7312139-f4c2-453d-a4c8-c631b6303d87"/>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830862f3-40c2-43d5-9778-1909aaa95bc7"/>
  </ds:schemaRefs>
</ds:datastoreItem>
</file>

<file path=customXml/itemProps3.xml><?xml version="1.0" encoding="utf-8"?>
<ds:datastoreItem xmlns:ds="http://schemas.openxmlformats.org/officeDocument/2006/customXml" ds:itemID="{7A1C42BE-B42F-447C-8C27-C0FEA39B2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44A3D6A-3642-4DFF-B32D-3838491ECEF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Results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Control Disaggregation Model (PCDM)_1 April 2016 Pre-Release</dc:title>
  <dc:creator>Hayton, Clare</dc:creator>
  <cp:lastModifiedBy>Hannah Greaves</cp:lastModifiedBy>
  <cp:lastPrinted>2014-06-02T18:49:43Z</cp:lastPrinted>
  <dcterms:created xsi:type="dcterms:W3CDTF">2014-06-02T13:43:59Z</dcterms:created>
  <dcterms:modified xsi:type="dcterms:W3CDTF">2017-06-07T10:25:15Z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ies>
</file>